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MIv46p4wB4palJHJ+R9Wsw99qGGJZxccB1CrYA1qHGd/XdBrnbhTdXtcFkIEgts4eQQzDv7B05/jzQ9V9AgHA==" workbookSaltValue="cujgNCltWPwGYG4ULg2Lv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AY14" i="8"/>
  <c r="BD9" i="8"/>
  <c r="BF9" i="8"/>
  <c r="C30" i="7"/>
  <c r="AO14" i="21"/>
  <c r="AP14" i="16"/>
  <c r="T23" i="17"/>
  <c r="T26" i="17" s="1"/>
  <c r="T30" i="17" s="1"/>
  <c r="BE17" i="13"/>
  <c r="X32" i="20"/>
  <c r="G23" i="14"/>
  <c r="G30" i="14"/>
  <c r="BF17" i="8" l="1"/>
  <c r="BD12" i="8"/>
  <c r="BG16" i="8"/>
  <c r="B16" i="6"/>
  <c r="BD16" i="13"/>
  <c r="BE16" i="13"/>
  <c r="BD17" i="13"/>
  <c r="R8" i="9"/>
  <c r="AA28" i="16"/>
  <c r="X22" i="17"/>
  <c r="X10" i="17"/>
  <c r="X18" i="17"/>
  <c r="X18" i="20"/>
  <c r="X20" i="20"/>
  <c r="V16" i="16"/>
  <c r="V12" i="16"/>
  <c r="T19" i="20"/>
  <c r="X25" i="16"/>
  <c r="X30" i="16" s="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T18" i="11"/>
  <c r="BH11" i="16"/>
  <c r="S20" i="14"/>
  <c r="V20" i="14" s="1"/>
  <c r="BK13" i="11"/>
  <c r="BH16" i="11"/>
  <c r="BH19" i="16"/>
  <c r="P18" i="17"/>
  <c r="BM29" i="11"/>
  <c r="BF29" i="11"/>
  <c r="BH19" i="11"/>
  <c r="BK19" i="11"/>
  <c r="BK9" i="11"/>
  <c r="S9" i="17"/>
  <c r="BG29" i="11"/>
  <c r="BI10" i="11"/>
  <c r="Q10" i="21"/>
  <c r="BM25" i="11"/>
  <c r="BK25" i="11"/>
  <c r="V28" i="11"/>
  <c r="BH20" i="11"/>
  <c r="BJ20" i="11"/>
  <c r="AP16" i="20"/>
  <c r="BG16" i="11"/>
  <c r="AZ13" i="11"/>
  <c r="BH13" i="11"/>
  <c r="V20" i="11"/>
  <c r="BL13" i="11"/>
  <c r="BL25" i="11"/>
  <c r="BH18" i="11"/>
  <c r="BG19" i="11"/>
  <c r="BM16"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T16" i="16"/>
  <c r="BW20" i="20"/>
  <c r="BV19" i="16"/>
  <c r="BV23" i="16" s="1"/>
  <c r="BV26" i="16" s="1"/>
  <c r="BV30" i="16" s="1"/>
  <c r="BV18" i="16"/>
  <c r="BW18" i="20"/>
  <c r="BV12" i="16"/>
  <c r="BW12" i="20"/>
  <c r="BV16" i="16"/>
  <c r="BW11" i="20"/>
  <c r="S21" i="17"/>
  <c r="BW28" i="20"/>
  <c r="BU13" i="17"/>
  <c r="BW21" i="20"/>
  <c r="BV9" i="16"/>
  <c r="AA29" i="16"/>
  <c r="AA18" i="16"/>
  <c r="AZ12" i="11"/>
  <c r="AZ11" i="11"/>
  <c r="Q18" i="17"/>
  <c r="BH10" i="11"/>
  <c r="AQ10" i="21"/>
  <c r="AO29" i="17"/>
  <c r="S10" i="17"/>
  <c r="BI29" i="11"/>
  <c r="BG17" i="11"/>
  <c r="P17" i="11" s="1"/>
  <c r="BM21" i="11"/>
  <c r="AO25" i="17"/>
  <c r="BJ17" i="11"/>
  <c r="BL17" i="11"/>
  <c r="BH22" i="11"/>
  <c r="L10" i="2"/>
  <c r="S17" i="17"/>
  <c r="L25" i="2"/>
  <c r="X10" i="21"/>
  <c r="L19" i="2"/>
  <c r="L9" i="2"/>
  <c r="V25" i="16"/>
  <c r="BJ25" i="11"/>
  <c r="AZ16" i="11"/>
  <c r="AZ23" i="11" s="1"/>
  <c r="AZ26" i="11" s="1"/>
  <c r="BU16" i="17"/>
  <c r="BW19" i="20"/>
  <c r="X20" i="16"/>
  <c r="BU10" i="17"/>
  <c r="BW25" i="20"/>
  <c r="BU22" i="17"/>
  <c r="X21" i="16"/>
  <c r="BU9" i="17"/>
  <c r="BU19" i="17"/>
  <c r="BW10" i="20"/>
  <c r="BW33" i="20" s="1"/>
  <c r="BV22" i="16"/>
  <c r="BU12" i="17"/>
  <c r="S25" i="17"/>
  <c r="AZ20" i="11"/>
  <c r="S11" i="14"/>
  <c r="V11" i="14" s="1"/>
  <c r="BG12" i="11"/>
  <c r="BI20" i="11"/>
  <c r="BI9" i="11"/>
  <c r="BL28" i="11"/>
  <c r="BL10" i="11"/>
  <c r="BH10" i="16"/>
  <c r="BH11" i="11"/>
  <c r="S18" i="17"/>
  <c r="BM9" i="11"/>
  <c r="P9" i="11" s="1"/>
  <c r="BH12" i="16"/>
  <c r="BK22" i="11"/>
  <c r="L28" i="2"/>
  <c r="X21" i="20"/>
  <c r="S16" i="17"/>
  <c r="L12" i="2"/>
  <c r="L13" i="2"/>
  <c r="U9" i="17"/>
  <c r="U31" i="17" s="1"/>
  <c r="X13" i="16"/>
  <c r="T28" i="11"/>
  <c r="T19" i="11"/>
  <c r="R22" i="14"/>
  <c r="R23" i="14" s="1"/>
  <c r="R11" i="14"/>
  <c r="S21" i="14"/>
  <c r="V21" i="14" s="1"/>
  <c r="S10" i="14"/>
  <c r="V10" i="14" s="1"/>
  <c r="AP14" i="20"/>
  <c r="AO13" i="17"/>
  <c r="AO18" i="17"/>
  <c r="AM20" i="11"/>
  <c r="AM22" i="11"/>
  <c r="AM25" i="11"/>
  <c r="AQ26" i="21"/>
  <c r="AO26" i="17"/>
  <c r="V10" i="21"/>
  <c r="V14" i="21" s="1"/>
  <c r="V31" i="21" s="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S13" i="17"/>
  <c r="V16" i="20"/>
  <c r="V23"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Q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P21" i="11"/>
  <c r="Q21" i="11"/>
  <c r="Q29" i="11"/>
  <c r="P29" i="11"/>
  <c r="Q10" i="11"/>
  <c r="D11" i="6"/>
  <c r="E11" i="3"/>
  <c r="BC26" i="8"/>
  <c r="BF26" i="8" s="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M30" i="14"/>
  <c r="P30" i="14"/>
  <c r="O14" i="11"/>
  <c r="O31" i="11"/>
  <c r="AU32" i="17"/>
  <c r="BR32" i="16"/>
  <c r="BP32" i="16"/>
  <c r="AX32" i="21"/>
  <c r="K32" i="20"/>
  <c r="AW32" i="11"/>
  <c r="AV32" i="21"/>
  <c r="O12" i="11"/>
  <c r="H32" i="17"/>
  <c r="AN30" i="17" l="1"/>
  <c r="AN33" i="17" s="1"/>
  <c r="BU33" i="17"/>
  <c r="BF23" i="11"/>
  <c r="P12" i="11"/>
  <c r="BV14" i="16"/>
  <c r="Q16" i="11"/>
  <c r="Q25" i="11"/>
  <c r="BH23" i="11"/>
  <c r="BJ23" i="11"/>
  <c r="BK23" i="11"/>
  <c r="BK31" i="11" s="1"/>
  <c r="Q9" i="11"/>
  <c r="Q23" i="17"/>
  <c r="P13" i="11"/>
  <c r="Q13" i="11"/>
  <c r="S30" i="14"/>
  <c r="S14" i="14"/>
  <c r="BI23" i="11"/>
  <c r="U14" i="17"/>
  <c r="Q31" i="20"/>
  <c r="Q31" i="17"/>
  <c r="AZ14" i="11"/>
  <c r="AZ31" i="11"/>
  <c r="BK14"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Q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7"/>
  <c r="AF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<sst xmlns="http://schemas.openxmlformats.org/spreadsheetml/2006/main" count="2682" uniqueCount="1193">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</sst>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ZSpvNxfuEUkXa0IfJpgLV7ZB111kjrKDdZolfj/k661E4hQUq2TyJ/n62mdxaJPDwJ02CO2wbrXe95nGvs9fg==" saltValue="++pPPUlUk3+Anft6AzmQ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7</v>
      </c>
      <c r="F10" s="240">
        <f>IF(ISNUMBER(Datos!K10),Datos!K10," - ")</f>
        <v>10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5.8890166762507192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7</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491</v>
      </c>
      <c r="D17" s="239">
        <f>IF(ISNUMBER(IF(D_I="SI",Datos!I17,Datos!I17+Datos!AC17)),IF(D_I="SI",Datos!I17,Datos!I17+Datos!AC17)," - ")</f>
        <v>580</v>
      </c>
      <c r="E17" s="240">
        <f>IF(ISNUMBER(IF(D_I="SI",Datos!J17,Datos!J17+Datos!AD17)),IF(D_I="SI",Datos!J17,Datos!J17+Datos!AD17)," - ")</f>
        <v>1991</v>
      </c>
      <c r="F17" s="240">
        <f>IF(ISNUMBER(IF(D_I="SI",Datos!K17,Datos!K17+Datos!AE17)),IF(D_I="SI",Datos!K17,Datos!K17+Datos!AE17)," - ")</f>
        <v>1963</v>
      </c>
      <c r="G17" s="1390" t="str">
        <f>IF(Datos!E17&lt;&gt;"",Datos!E17,Datos!D17)</f>
        <v>04</v>
      </c>
      <c r="H17" s="241">
        <f>IF(ISNUMBER(IF(D_I="SI",Datos!L17,Datos!L17+Datos!AF17)),IF(D_I="SI",Datos!L17,Datos!L17+Datos!AF17)," - ")</f>
        <v>519</v>
      </c>
      <c r="I17" s="1400" t="str">
        <f>IF(ISNUMBER(Datos!AS17/Datos!BM17),Datos!AS17/Datos!BM17," - ")</f>
        <v xml:space="preserve"> - </v>
      </c>
      <c r="J17" s="1401">
        <f>IF(ISNUMBER(Datos!BY17/Datos!CN17),Datos!BY17/Datos!CN17," - ")</f>
        <v>0</v>
      </c>
      <c r="K17" s="244">
        <f t="shared" si="3"/>
        <v>5.7026476578411409E-2</v>
      </c>
      <c r="L17" s="1402">
        <f>IF(ISNUMBER(NºAsuntos!I17/NºAsuntos!G17),(NºAsuntos!I17/NºAsuntos!G17)*11," - ")</f>
        <v>2.9083036169128889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139</v>
      </c>
      <c r="F18" s="240">
        <f>IF(ISNUMBER(IF(D_I="SI",Datos!K18,Datos!K18+Datos!AE18)),IF(D_I="SI",Datos!K18,Datos!K18+Datos!AE18)," - ")</f>
        <v>140</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-3.2258064516129031E-2</v>
      </c>
      <c r="L18" s="1402">
        <f>IF(ISNUMBER(NºAsuntos!I18/NºAsuntos!G18),(NºAsuntos!I18/NºAsuntos!G18)*11," - ")</f>
        <v>2.3571428571428572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522</v>
      </c>
      <c r="D23" s="1407">
        <f>SUBTOTAL(9,D16:D22)</f>
        <v>611</v>
      </c>
      <c r="E23" s="1408">
        <f>SUBTOTAL(9,E16:E22)</f>
        <v>2130</v>
      </c>
      <c r="F23" s="1408">
        <f>SUBTOTAL(9,F16:F22)</f>
        <v>2103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528</v>
      </c>
      <c r="D31" s="1435">
        <f>SUBTOTAL(9,D9:D30)</f>
        <v>617</v>
      </c>
      <c r="E31" s="1436">
        <f>SUBTOTAL(9,E9:E30)</f>
        <v>2137</v>
      </c>
      <c r="F31" s="1436">
        <f>SUBTOTAL(9,F9:F30)</f>
        <v>2113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TEUphXmC7Z6CpsfY3D83M/k/K/ZWPh3HFJR37dMw1ev0okCsaRh1Dx+wwfZsSZycNiRePEkg2ypBtzwDomHDg==" saltValue="cNL4dNIyEsHeUeWGpvfx0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b7XYZnKLCb7vTcxw5LsvC307jwgjuwsSGs8IzWiKvNu7qZfee1M6GOLo12gWXAVx157D8GobCzG+Na7CJSy3A==" saltValue="DEQ7CVs1VyfouBL3M6+g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7</v>
      </c>
      <c r="K10" s="194">
        <v>10</v>
      </c>
      <c r="L10" s="194">
        <v>3</v>
      </c>
      <c r="M10" s="194">
        <v>7</v>
      </c>
      <c r="N10" s="194">
        <v>0</v>
      </c>
      <c r="O10" s="194">
        <v>1</v>
      </c>
      <c r="P10" s="194">
        <v>0</v>
      </c>
      <c r="Q10" s="194">
        <v>0</v>
      </c>
      <c r="R10" s="194">
        <v>18</v>
      </c>
      <c r="S10" s="194">
        <v>12</v>
      </c>
      <c r="T10" s="194">
        <v>14</v>
      </c>
      <c r="U10" s="194">
        <v>15</v>
      </c>
      <c r="V10" s="194">
        <v>6</v>
      </c>
      <c r="W10" s="194">
        <v>10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14</v>
      </c>
      <c r="BA10" s="139">
        <f t="shared" si="0"/>
        <v>15</v>
      </c>
      <c r="BB10" s="139">
        <f t="shared" si="0"/>
        <v>6</v>
      </c>
      <c r="BC10" s="135">
        <f t="shared" si="0"/>
        <v>10</v>
      </c>
      <c r="BD10" s="136">
        <f>IF(ISNUMBER(BA10/AZ10),BA10/AZ10," - ")</f>
        <v>1.0714285714285714</v>
      </c>
      <c r="BE10" s="137">
        <f>IF(ISNUMBER(BB10/BA10),BB10/BA10, " - ")</f>
        <v>0.4</v>
      </c>
      <c r="BF10" s="137">
        <f>IF(ISNUMBER(BC10/BA10),BC10/BA10, " - ")</f>
        <v>0.66666666666666663</v>
      </c>
      <c r="BG10" s="209">
        <f>IF(ISNUMBER((AY10+AZ10)/BA10),(AY10+AZ10)/BA10," - ")</f>
        <v>1.7333333333333334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882</v>
      </c>
      <c r="J12" s="196">
        <v>1607</v>
      </c>
      <c r="K12" s="196">
        <v>1510</v>
      </c>
      <c r="L12" s="196">
        <v>872</v>
      </c>
      <c r="M12" s="196">
        <v>285</v>
      </c>
      <c r="N12" s="196">
        <v>515</v>
      </c>
      <c r="O12" s="194">
        <v>1088</v>
      </c>
      <c r="P12" s="196">
        <v>582</v>
      </c>
      <c r="Q12" s="196">
        <v>425</v>
      </c>
      <c r="R12" s="196">
        <v>2144</v>
      </c>
      <c r="S12" s="196">
        <v>867</v>
      </c>
      <c r="T12" s="196">
        <v>1536</v>
      </c>
      <c r="U12" s="196">
        <v>1437</v>
      </c>
      <c r="V12" s="196">
        <v>882</v>
      </c>
      <c r="W12" s="196">
        <v>308</v>
      </c>
      <c r="X12" s="202">
        <v>458</v>
      </c>
      <c r="Y12" s="204">
        <v>32</v>
      </c>
      <c r="Z12" s="194">
        <v>256</v>
      </c>
      <c r="AA12" s="194">
        <v>229</v>
      </c>
      <c r="AB12" s="194">
        <v>59</v>
      </c>
      <c r="AC12" s="196">
        <v>0</v>
      </c>
      <c r="AD12" s="196">
        <v>0</v>
      </c>
      <c r="AE12" s="196">
        <v>0</v>
      </c>
      <c r="AF12" s="202">
        <v>0</v>
      </c>
      <c r="AG12" s="215">
        <v>26</v>
      </c>
      <c r="AH12" s="196">
        <v>134</v>
      </c>
      <c r="AI12" s="196">
        <v>128</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893</v>
      </c>
      <c r="AZ12" s="137">
        <f t="shared" si="1"/>
        <v>1670</v>
      </c>
      <c r="BA12" s="137">
        <f t="shared" si="1"/>
        <v>1565</v>
      </c>
      <c r="BB12" s="137">
        <f t="shared" si="1"/>
        <v>914</v>
      </c>
      <c r="BC12" s="135">
        <f>IF(ISNUMBER(X12),X12," - ")</f>
        <v>458</v>
      </c>
      <c r="BD12" s="136">
        <f t="shared" si="2"/>
        <v>0.93712574850299402</v>
      </c>
      <c r="BE12" s="137">
        <f t="shared" si="3"/>
        <v>0.5840255591054313</v>
      </c>
      <c r="BF12" s="137">
        <f t="shared" si="4"/>
        <v>0.2926517571884984</v>
      </c>
      <c r="BG12" s="209">
        <f t="shared" si="5"/>
        <v>1.6376996805111821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888</v>
      </c>
      <c r="J14" s="197">
        <f t="shared" si="7"/>
        <v>1614</v>
      </c>
      <c r="K14" s="197">
        <f t="shared" si="7"/>
        <v>1520</v>
      </c>
      <c r="L14" s="197">
        <f t="shared" si="7"/>
        <v>875</v>
      </c>
      <c r="M14" s="197">
        <f t="shared" si="7"/>
        <v>292</v>
      </c>
      <c r="N14" s="197">
        <f t="shared" si="7"/>
        <v>515</v>
      </c>
      <c r="O14" s="197">
        <f t="shared" si="7"/>
        <v>1089</v>
      </c>
      <c r="P14" s="197">
        <f t="shared" si="7"/>
        <v>582</v>
      </c>
      <c r="Q14" s="197">
        <f t="shared" si="7"/>
        <v>425</v>
      </c>
      <c r="R14" s="197">
        <f t="shared" si="7"/>
        <v>2162</v>
      </c>
      <c r="S14" s="197">
        <f t="shared" si="7"/>
        <v>879</v>
      </c>
      <c r="T14" s="197">
        <f t="shared" si="7"/>
        <v>1550</v>
      </c>
      <c r="U14" s="197">
        <f t="shared" si="7"/>
        <v>1452</v>
      </c>
      <c r="V14" s="197">
        <f t="shared" si="7"/>
        <v>888</v>
      </c>
      <c r="W14" s="197">
        <f t="shared" si="7"/>
        <v>318</v>
      </c>
      <c r="X14" s="197">
        <f t="shared" si="7"/>
        <v>460</v>
      </c>
      <c r="Y14" s="197">
        <f t="shared" si="7"/>
        <v>32</v>
      </c>
      <c r="Z14" s="197">
        <f t="shared" si="7"/>
        <v>256</v>
      </c>
      <c r="AA14" s="197">
        <f t="shared" si="7"/>
        <v>229</v>
      </c>
      <c r="AB14" s="197">
        <f t="shared" si="7"/>
        <v>59</v>
      </c>
      <c r="AC14" s="197">
        <f t="shared" si="7"/>
        <v>0</v>
      </c>
      <c r="AD14" s="197">
        <f t="shared" si="7"/>
        <v>0</v>
      </c>
      <c r="AE14" s="197">
        <f t="shared" si="7"/>
        <v>0</v>
      </c>
      <c r="AF14" s="197">
        <f>SUBTOTAL(9,AF9:AF13)</f>
        <v>0</v>
      </c>
      <c r="AG14" s="197">
        <f t="shared" ref="AG14:AT14" si="8">SUBTOTAL(9,AG8:AG13)</f>
        <v>26</v>
      </c>
      <c r="AH14" s="197">
        <f t="shared" si="8"/>
        <v>134</v>
      </c>
      <c r="AI14" s="197">
        <f t="shared" si="8"/>
        <v>128</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905</v>
      </c>
      <c r="AZ14" s="197">
        <f>SUBTOTAL(9,AZ8:AZ13)</f>
        <v>1684</v>
      </c>
      <c r="BA14" s="197">
        <f>SUBTOTAL(9,BA8:BA13)</f>
        <v>1580</v>
      </c>
      <c r="BB14" s="197">
        <f>SUBTOTAL(9,BB8:BB13)</f>
        <v>920</v>
      </c>
      <c r="BC14" s="197">
        <f>SUBTOTAL(9,BC8:BC13)</f>
        <v>468</v>
      </c>
      <c r="BD14" s="219">
        <f>IF(ISNUMBER(BA14/AZ14),BA14/AZ14," - ")</f>
        <v>0.93824228028503565</v>
      </c>
      <c r="BE14" s="220">
        <f>IF(ISNUMBER(BB14/BA14),BB14/BA14, " - ")</f>
        <v>0.58227848101265822</v>
      </c>
      <c r="BF14" s="220">
        <f>IF(ISNUMBER(BC14/BA14),BC14/BA14, " - ")</f>
        <v>0.29620253164556964</v>
      </c>
      <c r="BG14" s="221">
        <f>IF(ISNUMBER((AY14+AZ14)/BA14),(AY14+AZ14)/BA14," - ")</f>
        <v>1.6386075949367089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580</v>
      </c>
      <c r="J17" s="196">
        <v>1991</v>
      </c>
      <c r="K17" s="196">
        <v>1963</v>
      </c>
      <c r="L17" s="196">
        <v>519</v>
      </c>
      <c r="M17" s="196">
        <v>233</v>
      </c>
      <c r="N17" s="196">
        <v>1094</v>
      </c>
      <c r="O17" s="194">
        <v>66</v>
      </c>
      <c r="P17" s="196">
        <v>77</v>
      </c>
      <c r="Q17" s="196">
        <v>82</v>
      </c>
      <c r="R17" s="196">
        <v>84</v>
      </c>
      <c r="S17" s="196">
        <v>552</v>
      </c>
      <c r="T17" s="196">
        <v>1629</v>
      </c>
      <c r="U17" s="196">
        <v>1606</v>
      </c>
      <c r="V17" s="196">
        <v>580</v>
      </c>
      <c r="W17" s="196">
        <v>262</v>
      </c>
      <c r="X17" s="202">
        <v>896</v>
      </c>
      <c r="Y17" s="215">
        <v>0</v>
      </c>
      <c r="Z17" s="196">
        <v>0</v>
      </c>
      <c r="AA17" s="196">
        <v>0</v>
      </c>
      <c r="AB17" s="196">
        <v>0</v>
      </c>
      <c r="AC17" s="196">
        <v>0</v>
      </c>
      <c r="AD17" s="196">
        <v>19</v>
      </c>
      <c r="AE17" s="196">
        <v>19</v>
      </c>
      <c r="AF17" s="202">
        <v>0</v>
      </c>
      <c r="AG17" s="215">
        <v>0</v>
      </c>
      <c r="AH17" s="196">
        <v>0</v>
      </c>
      <c r="AI17" s="196">
        <v>0</v>
      </c>
      <c r="AJ17" s="216">
        <v>0</v>
      </c>
      <c r="AK17" s="195">
        <v>0</v>
      </c>
      <c r="AL17" s="196">
        <v>11</v>
      </c>
      <c r="AM17" s="196">
        <v>11</v>
      </c>
      <c r="AN17" s="202">
        <v>0</v>
      </c>
      <c r="AO17" s="283">
        <v>2</v>
      </c>
      <c r="AP17" s="168">
        <v>2</v>
      </c>
      <c r="AQ17" s="168">
        <v>2</v>
      </c>
      <c r="AR17" s="168">
        <v>2</v>
      </c>
      <c r="AS17" s="381" t="s">
        <v>650</v>
      </c>
      <c r="AT17" s="216"/>
      <c r="AU17" s="215"/>
      <c r="AV17" s="216"/>
      <c r="AW17" s="215"/>
      <c r="AX17" s="216"/>
      <c r="AY17" s="136">
        <f t="shared" si="10"/>
        <v>552</v>
      </c>
      <c r="AZ17" s="137">
        <f t="shared" si="10"/>
        <v>1629</v>
      </c>
      <c r="BA17" s="137">
        <f t="shared" si="10"/>
        <v>1606</v>
      </c>
      <c r="BB17" s="137">
        <f t="shared" si="10"/>
        <v>580</v>
      </c>
      <c r="BC17" s="135">
        <f>IF(ISNUMBER(W17),W17," - ")</f>
        <v>262</v>
      </c>
      <c r="BD17" s="136">
        <f t="shared" ref="BD17:BD22" si="12">IF(ISNUMBER(BA17/AZ17),BA17/AZ17," - ")</f>
        <v>0.98588090853284227</v>
      </c>
      <c r="BE17" s="137">
        <f t="shared" ref="BE17:BE22" si="13">IF(ISNUMBER(BB17/BA17),BB17/BA17, " - ")</f>
        <v>0.36114570361145704</v>
      </c>
      <c r="BF17" s="137">
        <f t="shared" ref="BF17:BF22" si="14">IF(ISNUMBER(BC17/BA17),BC17/BA17, " - ")</f>
        <v>0.16313823163138233</v>
      </c>
      <c r="BG17" s="209">
        <f t="shared" si="11"/>
        <v>1.3580323785803239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139</v>
      </c>
      <c r="K18" s="196">
        <v>140</v>
      </c>
      <c r="L18" s="196">
        <v>30</v>
      </c>
      <c r="M18" s="196">
        <v>14</v>
      </c>
      <c r="N18" s="196">
        <v>60</v>
      </c>
      <c r="O18" s="196">
        <v>2</v>
      </c>
      <c r="P18" s="196">
        <v>1</v>
      </c>
      <c r="Q18" s="196">
        <v>2</v>
      </c>
      <c r="R18" s="196">
        <v>0</v>
      </c>
      <c r="S18" s="196">
        <v>52</v>
      </c>
      <c r="T18" s="196">
        <v>134</v>
      </c>
      <c r="U18" s="196">
        <v>146</v>
      </c>
      <c r="V18" s="196">
        <v>31</v>
      </c>
      <c r="W18" s="196">
        <v>17</v>
      </c>
      <c r="X18" s="202">
        <v>82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134</v>
      </c>
      <c r="BA18" s="139">
        <f t="shared" si="15"/>
        <v>146</v>
      </c>
      <c r="BB18" s="139">
        <f t="shared" si="15"/>
        <v>31</v>
      </c>
      <c r="BC18" s="135">
        <f>IF(ISNUMBER(W18),W18," - ")</f>
        <v>17</v>
      </c>
      <c r="BD18" s="136">
        <f>IF(ISNUMBER(BA18/AZ18),BA18/AZ18," - ")</f>
        <v>1.0895522388059702</v>
      </c>
      <c r="BE18" s="137">
        <f>IF(ISNUMBER(BB18/BA18),BB18/BA18, " - ")</f>
        <v>0.21232876712328766</v>
      </c>
      <c r="BF18" s="137">
        <f>IF(ISNUMBER(BC18/BA18),BC18/BA18, " - ")</f>
        <v>0.11643835616438356</v>
      </c>
      <c r="BG18" s="209">
        <f>IF(ISNUMBER((AY18+AZ18)/BA18),(AY18+AZ18)/BA18," - ")</f>
        <v>1.273972602739726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611</v>
      </c>
      <c r="J23" s="197">
        <f t="shared" si="21"/>
        <v>2130</v>
      </c>
      <c r="K23" s="197">
        <f t="shared" si="21"/>
        <v>2103</v>
      </c>
      <c r="L23" s="197">
        <f t="shared" si="21"/>
        <v>549</v>
      </c>
      <c r="M23" s="197">
        <f t="shared" si="21"/>
        <v>247</v>
      </c>
      <c r="N23" s="197">
        <f t="shared" si="21"/>
        <v>1154</v>
      </c>
      <c r="O23" s="197">
        <f t="shared" si="21"/>
        <v>68</v>
      </c>
      <c r="P23" s="197">
        <f t="shared" si="21"/>
        <v>78</v>
      </c>
      <c r="Q23" s="197">
        <f t="shared" si="21"/>
        <v>84</v>
      </c>
      <c r="R23" s="197">
        <f t="shared" si="21"/>
        <v>84</v>
      </c>
      <c r="S23" s="197">
        <f t="shared" si="21"/>
        <v>604</v>
      </c>
      <c r="T23" s="197">
        <f t="shared" si="21"/>
        <v>1763</v>
      </c>
      <c r="U23" s="197">
        <f t="shared" si="21"/>
        <v>1752</v>
      </c>
      <c r="V23" s="197">
        <f t="shared" si="21"/>
        <v>611</v>
      </c>
      <c r="W23" s="197">
        <f t="shared" si="21"/>
        <v>279</v>
      </c>
      <c r="X23" s="197">
        <f t="shared" si="21"/>
        <v>978</v>
      </c>
      <c r="Y23" s="197">
        <f t="shared" si="21"/>
        <v>0</v>
      </c>
      <c r="Z23" s="197">
        <f t="shared" si="21"/>
        <v>0</v>
      </c>
      <c r="AA23" s="197">
        <f t="shared" si="21"/>
        <v>0</v>
      </c>
      <c r="AB23" s="197">
        <f t="shared" si="21"/>
        <v>0</v>
      </c>
      <c r="AC23" s="197">
        <f t="shared" si="21"/>
        <v>0</v>
      </c>
      <c r="AD23" s="197">
        <f t="shared" si="21"/>
        <v>19</v>
      </c>
      <c r="AE23" s="197">
        <f t="shared" si="21"/>
        <v>19</v>
      </c>
      <c r="AF23" s="197">
        <f t="shared" si="21"/>
        <v>0</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604</v>
      </c>
      <c r="AZ23" s="197">
        <f>SUBTOTAL(9,AZ15:AZ22)</f>
        <v>1763</v>
      </c>
      <c r="BA23" s="197">
        <f>SUBTOTAL(9,BA15:BA22)</f>
        <v>1752</v>
      </c>
      <c r="BB23" s="197">
        <f>SUBTOTAL(9,BB15:BB22)</f>
        <v>611</v>
      </c>
      <c r="BC23" s="197">
        <f>SUBTOTAL(9,BC15:BC22)</f>
        <v>279</v>
      </c>
      <c r="BD23" s="219">
        <f>IF(ISNUMBER(BA23/AZ23),BA23/AZ23," - ")</f>
        <v>0.99376063528077141</v>
      </c>
      <c r="BE23" s="220">
        <f>IF(ISNUMBER(BB23/BA23),BB23/BA23, " - ")</f>
        <v>0.34874429223744291</v>
      </c>
      <c r="BF23" s="220">
        <f>IF(ISNUMBER(BC23/BA23),BC23/BA23, " - ")</f>
        <v>0.15924657534246575</v>
      </c>
      <c r="BG23" s="221">
        <f>IF(ISNUMBER((AY23+AZ23)/BA23),(AY23+AZ23)/BA23," - ")</f>
        <v>1.351027397260274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1499</v>
      </c>
      <c r="J31" s="144">
        <f t="shared" si="36"/>
        <v>3744</v>
      </c>
      <c r="K31" s="144">
        <f t="shared" si="36"/>
        <v>3623</v>
      </c>
      <c r="L31" s="144">
        <f t="shared" si="36"/>
        <v>1424</v>
      </c>
      <c r="M31" s="144">
        <f t="shared" si="36"/>
        <v>539</v>
      </c>
      <c r="N31" s="144">
        <f t="shared" si="36"/>
        <v>1669</v>
      </c>
      <c r="O31" s="144">
        <f t="shared" si="36"/>
        <v>1157</v>
      </c>
      <c r="P31" s="144">
        <f t="shared" si="36"/>
        <v>660</v>
      </c>
      <c r="Q31" s="144">
        <f t="shared" si="36"/>
        <v>509</v>
      </c>
      <c r="R31" s="144">
        <f t="shared" si="36"/>
        <v>2246</v>
      </c>
      <c r="S31" s="144">
        <f t="shared" si="36"/>
        <v>1483</v>
      </c>
      <c r="T31" s="144">
        <f t="shared" si="36"/>
        <v>3313</v>
      </c>
      <c r="U31" s="144">
        <f t="shared" si="36"/>
        <v>3204</v>
      </c>
      <c r="V31" s="144">
        <f t="shared" si="36"/>
        <v>1499</v>
      </c>
      <c r="W31" s="144">
        <f t="shared" si="36"/>
        <v>597</v>
      </c>
      <c r="X31" s="144">
        <f t="shared" si="36"/>
        <v>1438</v>
      </c>
      <c r="Y31" s="144">
        <f t="shared" si="36"/>
        <v>32</v>
      </c>
      <c r="Z31" s="144">
        <f t="shared" si="36"/>
        <v>256</v>
      </c>
      <c r="AA31" s="144">
        <f t="shared" si="36"/>
        <v>229</v>
      </c>
      <c r="AB31" s="144">
        <f t="shared" si="36"/>
        <v>59</v>
      </c>
      <c r="AC31" s="144">
        <f t="shared" si="36"/>
        <v>0</v>
      </c>
      <c r="AD31" s="144">
        <f t="shared" si="36"/>
        <v>19</v>
      </c>
      <c r="AE31" s="144">
        <f t="shared" si="36"/>
        <v>19</v>
      </c>
      <c r="AF31" s="144">
        <f t="shared" si="36"/>
        <v>0</v>
      </c>
      <c r="AG31" s="144">
        <f t="shared" si="36"/>
        <v>26</v>
      </c>
      <c r="AH31" s="144">
        <f t="shared" si="36"/>
        <v>134</v>
      </c>
      <c r="AI31" s="144">
        <f t="shared" si="36"/>
        <v>128</v>
      </c>
      <c r="AJ31" s="144">
        <f t="shared" si="36"/>
        <v>32</v>
      </c>
      <c r="AK31" s="144">
        <f t="shared" si="36"/>
        <v>0</v>
      </c>
      <c r="AL31" s="144">
        <f t="shared" si="36"/>
        <v>11</v>
      </c>
      <c r="AM31" s="144">
        <f t="shared" si="36"/>
        <v>11</v>
      </c>
      <c r="AN31" s="224">
        <f t="shared" si="36"/>
        <v>0</v>
      </c>
      <c r="AO31" s="225">
        <v>3</v>
      </c>
      <c r="AP31" s="225">
        <v>2</v>
      </c>
      <c r="AQ31" s="225">
        <v>2</v>
      </c>
      <c r="AR31" s="225">
        <v>2</v>
      </c>
      <c r="AS31" s="166">
        <f t="shared" si="36"/>
        <v>0</v>
      </c>
      <c r="AT31" s="166">
        <f t="shared" si="36"/>
        <v>0</v>
      </c>
      <c r="AU31" s="225"/>
      <c r="AV31" s="226"/>
      <c r="AW31" s="225"/>
      <c r="AX31" s="226"/>
      <c r="AY31" s="143">
        <f>SUBTOTAL(9,AY9:AY30)</f>
        <v>1509</v>
      </c>
      <c r="AZ31" s="144">
        <f>SUBTOTAL(9,AZ9:AZ30)</f>
        <v>3447</v>
      </c>
      <c r="BA31" s="144">
        <f>SUBTOTAL(9,BA9:BA30)</f>
        <v>3332</v>
      </c>
      <c r="BB31" s="144">
        <f>SUBTOTAL(9,BB9:BB30)</f>
        <v>1531</v>
      </c>
      <c r="BC31" s="145">
        <f>SUBTOTAL(9,BC9:BC30)</f>
        <v>747</v>
      </c>
      <c r="BD31" s="227">
        <f>IF(ISNUMBER(BA31/AZ31),BA31/AZ31," - ")</f>
        <v>0.96663765593269513</v>
      </c>
      <c r="BE31" s="224">
        <f>IF(ISNUMBER(BB31/BA31),BB31/BA31, " - ")</f>
        <v>0.45948379351740698</v>
      </c>
      <c r="BF31" s="224">
        <f>IF(ISNUMBER(BC31/BA31),BC31/BA31, " - ")</f>
        <v>0.22418967587034813</v>
      </c>
      <c r="BG31" s="145">
        <f>IF(ISNUMBER((AY31+AZ31)/BA31),(AY31+AZ31)/BA31," - ")</f>
        <v>1.4873949579831933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ncWxgs7z6k2j2vMn8v7yaEVkWBETqe4Y92s2MVxv5eeKfA92BhGJptbZJQvC2aYqpWcX76Ctq2F3YRngAVBA==" saltValue="Ozhud94l73HDimgNLDA/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kpNkutv2r0hmt2t5QKgRwZYIWiGXS2x8kCwOay6mfj/QpU+Qwh3YoVyw786yXpysSbeTnAIvgN4cwdBnLsMQ==" saltValue="AaM8OrEC1UnfjN29ylEF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VILLANUEVA DE LA SERENA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3</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1.4285714285714286</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256</v>
      </c>
      <c r="O12" s="549"/>
      <c r="P12" s="549"/>
      <c r="Q12" s="547">
        <f>IF(ISNUMBER(Datos!P12),Datos!P12,0)</f>
        <v>582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2144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285</v>
      </c>
      <c r="BD12" s="693">
        <f>IF(ISNUMBER(Datos!N12),Datos!N12," - ")</f>
        <v>515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0.93344068706387551</v>
      </c>
      <c r="BH12" s="764">
        <f>IF(ISNUMBER(((IF(J_V="SI",Datos!L12/Datos!K12,(Datos!L12+Datos!AB12)/(Datos!K12+Datos!AA12)))*11)/factor_trimestre),((IF(J_V="SI",Datos!L12/Datos!K12,(Datos!L12+Datos!AB12)/(Datos!K12+Datos!AA12)))*11)/factor_trimestre," - ")</f>
        <v>5.8890166762507192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7.9013588324106696E-2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256</v>
      </c>
      <c r="O14" s="1199">
        <f t="shared" si="1"/>
        <v>0</v>
      </c>
      <c r="P14" s="1199">
        <f t="shared" si="1"/>
        <v>0</v>
      </c>
      <c r="Q14" s="1198">
        <f t="shared" si="1"/>
        <v>582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425</v>
      </c>
      <c r="AD14" s="1198">
        <f t="shared" si="2"/>
        <v>0</v>
      </c>
      <c r="AE14" s="1198">
        <f t="shared" si="2"/>
        <v>0</v>
      </c>
      <c r="AF14" s="1198">
        <f t="shared" si="2"/>
        <v>3</v>
      </c>
      <c r="AG14" s="1198">
        <f t="shared" si="2"/>
        <v>0</v>
      </c>
      <c r="AH14" s="1198">
        <f t="shared" si="2"/>
        <v>59</v>
      </c>
      <c r="AI14" s="1198">
        <f t="shared" si="2"/>
        <v>0</v>
      </c>
      <c r="AJ14" s="1198">
        <f t="shared" si="2"/>
        <v>0</v>
      </c>
      <c r="AK14" s="1198">
        <f t="shared" si="2"/>
        <v>0</v>
      </c>
      <c r="AL14" s="1198">
        <f t="shared" si="2"/>
        <v>0</v>
      </c>
      <c r="AM14" s="1198">
        <f t="shared" si="2"/>
        <v>2162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292</v>
      </c>
      <c r="BD14" s="1198">
        <f t="shared" si="2"/>
        <v>515</v>
      </c>
      <c r="BE14" s="1198">
        <f t="shared" si="2"/>
        <v>0</v>
      </c>
      <c r="BF14" s="1198">
        <f t="shared" si="2"/>
        <v>0</v>
      </c>
      <c r="BG14" s="1198">
        <f>IF(ISNUMBER(Datos!K14/Datos!J14),Datos!K14/Datos!J14," - ")</f>
        <v>0.9417596034696406</v>
      </c>
      <c r="BH14" s="1202">
        <f>IF(ISNUMBER(((Datos!L14/Datos!K14)*11)/factor_trimestre),((Datos!L14/Datos!K14)*11)/factor_trimestre," - ")</f>
        <v>6.3322368421052637</v>
      </c>
      <c r="BI14" s="1198">
        <f>IF(ISNUMBER('Resol  Asuntos'!D14/NºAsuntos!G14),'Resol  Asuntos'!D14/NºAsuntos!G14," - ")</f>
        <v>0.16695254431103487</v>
      </c>
      <c r="BJ14" s="1198" t="str">
        <f>IF(ISNUMBER(Datos!CI14/Datos!CJ14),Datos!CI14/Datos!CJ14," - ")</f>
        <v xml:space="preserve"> - </v>
      </c>
      <c r="BK14" s="1198">
        <f>SUBTOTAL(9,BK8:BK13)</f>
        <v>0</v>
      </c>
      <c r="BL14" s="1198">
        <f>IF(ISNUMBER((I14-AB14+L14)/(F14)),(I14-AB14+L14)/(F14)," - ")</f>
        <v>-1.6666666666666667</v>
      </c>
      <c r="BM14" s="1203">
        <f>SUBTOTAL(9,BM9:BM13)</f>
        <v>7.9013588324106696E-2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491</v>
      </c>
      <c r="G17" s="743">
        <f>IF(ISNUMBER(IF(D_I="SI",Datos!I17,Datos!I17+Datos!AC17)),IF(D_I="SI",Datos!I17,Datos!I17+Datos!AC17)," - ")</f>
        <v>580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1963</v>
      </c>
      <c r="AC17" s="240">
        <f>IF(ISNUMBER(Datos!Q17),Datos!Q17," - ")</f>
        <v>82</v>
      </c>
      <c r="AD17" s="374"/>
      <c r="AE17" s="562"/>
      <c r="AF17" s="741">
        <f>IF(ISNUMBER(IF(D_I="SI",Datos!L17,Datos!L17+Datos!AF17)),IF(D_I="SI",Datos!L17,Datos!L17+Datos!AF17)," - ")</f>
        <v>519</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233</v>
      </c>
      <c r="BD17" s="243">
        <f>IF(ISNUMBER(Datos!N17),Datos!N17," - ")</f>
        <v>1094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0.98593671521848314</v>
      </c>
      <c r="BH17" s="764">
        <f>IF(ISNUMBER(((IF(D_I="SI",Datos!L17/Datos!K17,(Datos!L17+Datos!AF17)/(Datos!K17+Datos!AE17)))*11)/factor_trimestre),((IF(D_I="SI",Datos!L17/Datos!K17,(Datos!L17+Datos!AF17)/(Datos!K17+Datos!AE17)))*11)/factor_trimestre," - ")</f>
        <v>2.9083036169128889</v>
      </c>
      <c r="BI17" s="266">
        <f>IF(ISNUMBER('Resol  Asuntos'!D17/NºAsuntos!G17),'Resol  Asuntos'!D17/NºAsuntos!G17," - ")</f>
        <v>0.11869587366276108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140</v>
      </c>
      <c r="AC18" s="547">
        <f>IF(ISNUMBER(Datos!Q18),Datos!Q18," - ")</f>
        <v>2</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1.0071942446043165</v>
      </c>
      <c r="BH18" s="764">
        <f>IF(ISNUMBER(((IF(D_I="SI",Datos!L18/Datos!K18,(Datos!L18+Datos!AF18)/(Datos!K18+Datos!AE18)))*11)/factor_trimestre),((IF(D_I="SI",Datos!L18/Datos!K18,(Datos!L18+Datos!AF18)/(Datos!K18+Datos!AE18)))*11)/factor_trimestre," - ")</f>
        <v>2.3571428571428572</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491</v>
      </c>
      <c r="G23" s="1197">
        <f>SUBTOTAL(9,G16:G22)</f>
        <v>611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2103</v>
      </c>
      <c r="AC23" s="1198">
        <f t="shared" si="5"/>
        <v>84</v>
      </c>
      <c r="AD23" s="1198">
        <f t="shared" si="5"/>
        <v>0</v>
      </c>
      <c r="AE23" s="1198">
        <f t="shared" si="5"/>
        <v>0</v>
      </c>
      <c r="AF23" s="1198">
        <f t="shared" si="5"/>
        <v>549</v>
      </c>
      <c r="AG23" s="1198">
        <f t="shared" si="5"/>
        <v>0</v>
      </c>
      <c r="AH23" s="1198">
        <f t="shared" si="5"/>
        <v>0</v>
      </c>
      <c r="AI23" s="1198">
        <f t="shared" si="5"/>
        <v>0</v>
      </c>
      <c r="AJ23" s="1198">
        <f t="shared" si="5"/>
        <v>0</v>
      </c>
      <c r="AK23" s="1198">
        <f t="shared" si="5"/>
        <v>0</v>
      </c>
      <c r="AL23" s="1198">
        <f t="shared" si="5"/>
        <v>0</v>
      </c>
      <c r="AM23" s="1198">
        <f t="shared" si="5"/>
        <v>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247</v>
      </c>
      <c r="BD23" s="1198">
        <f t="shared" si="5"/>
        <v>1154</v>
      </c>
      <c r="BE23" s="1198">
        <f t="shared" si="5"/>
        <v>0</v>
      </c>
      <c r="BF23" s="1198">
        <f t="shared" si="5"/>
        <v>0</v>
      </c>
      <c r="BG23" s="1198">
        <f>IF(ISNUMBER(Datos!K23/Datos!J23),Datos!K23/Datos!J23," - ")</f>
        <v>0.98732394366197185</v>
      </c>
      <c r="BH23" s="1202">
        <f>IF(ISNUMBER(((Datos!L23/Datos!K23)*11)/factor_trimestre),((Datos!L23/Datos!K23)*11)/factor_trimestre," - ")</f>
        <v>2.8716119828815976</v>
      </c>
      <c r="BI23" s="1198">
        <f>SUBTOTAL(9,BI16:BI22)</f>
        <v>0.21869587366276108</v>
      </c>
      <c r="BJ23" s="1198">
        <f>SUBTOTAL(9,BJ16:BJ22)</f>
        <v>0</v>
      </c>
      <c r="BK23" s="1198">
        <f>SUBTOTAL(9,BK16:BK22)</f>
        <v>0</v>
      </c>
      <c r="BL23" s="1198">
        <f>IF(ISNUMBER((I23-AB23+L23)/(F23)),(I23-AB23+L23)/(F23)," - ")</f>
        <v>-4.2830957230142568</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497</v>
      </c>
      <c r="G31" s="1117">
        <f t="shared" si="18"/>
        <v>617</v>
      </c>
      <c r="H31" s="1119">
        <f t="shared" si="18"/>
        <v>0</v>
      </c>
      <c r="I31" s="1117">
        <f t="shared" si="18"/>
        <v>0</v>
      </c>
      <c r="J31" s="1119">
        <f t="shared" si="18"/>
        <v>0</v>
      </c>
      <c r="K31" s="1119">
        <f t="shared" si="18"/>
        <v>0</v>
      </c>
      <c r="L31" s="1180">
        <f t="shared" si="18"/>
        <v>0</v>
      </c>
      <c r="M31" s="1180">
        <f t="shared" si="18"/>
        <v>0</v>
      </c>
      <c r="N31" s="1180">
        <f t="shared" si="18"/>
        <v>256</v>
      </c>
      <c r="O31" s="1180">
        <f t="shared" si="18"/>
        <v>0</v>
      </c>
      <c r="P31" s="1180">
        <f t="shared" si="18"/>
        <v>0</v>
      </c>
      <c r="Q31" s="1119">
        <f t="shared" si="18"/>
        <v>660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2113</v>
      </c>
      <c r="AC31" s="1118">
        <f t="shared" si="19"/>
        <v>509</v>
      </c>
      <c r="AD31" s="1118">
        <f t="shared" si="19"/>
        <v>0</v>
      </c>
      <c r="AE31" s="1118">
        <f t="shared" si="19"/>
        <v>0</v>
      </c>
      <c r="AF31" s="1125">
        <f t="shared" si="19"/>
        <v>552</v>
      </c>
      <c r="AG31" s="1125">
        <f t="shared" si="19"/>
        <v>0</v>
      </c>
      <c r="AH31" s="1125">
        <f t="shared" si="19"/>
        <v>59</v>
      </c>
      <c r="AI31" s="1125">
        <f t="shared" si="19"/>
        <v>0</v>
      </c>
      <c r="AJ31" s="1118">
        <f t="shared" si="19"/>
        <v>0</v>
      </c>
      <c r="AK31" s="1125">
        <f t="shared" si="19"/>
        <v>0</v>
      </c>
      <c r="AL31" s="1125">
        <f t="shared" si="19"/>
        <v>0</v>
      </c>
      <c r="AM31" s="1125">
        <f t="shared" si="19"/>
        <v>2246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539</v>
      </c>
      <c r="BD31" s="1117">
        <f t="shared" si="19"/>
        <v>1669</v>
      </c>
      <c r="BE31" s="1117">
        <f t="shared" si="19"/>
        <v>0</v>
      </c>
      <c r="BF31" s="1127">
        <f t="shared" si="19"/>
        <v>0</v>
      </c>
      <c r="BG31" s="1223">
        <f>IF(ISNUMBER(Datos!K31/Datos!J31),Datos!K31/Datos!J31," - ")</f>
        <v>0.96768162393162394</v>
      </c>
      <c r="BH31" s="1223">
        <f>IF(ISNUMBER(((Datos!L31/Datos!K31)*11)/factor_trimestre),((Datos!L31/Datos!K31)*11)/factor_trimestre," - ")</f>
        <v>4.3234888214187137</v>
      </c>
      <c r="BI31" s="1103">
        <f>IF(ISNUMBER(Datos!J31/Datos!I31),Datos!J31/Datos!I31," - ")</f>
        <v>2.4976651100733824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-4.2515090543259557</v>
      </c>
      <c r="BM31" s="1188">
        <f>IF(ISNUMBER((Datos!P31-Datos!Q31+R31)/(Datos!R31-Datos!P31+Datos!Q31-R31)),(Datos!P31-Datos!Q31+R31)/(Datos!R31-Datos!P31+Datos!Q31-R31)," - ")</f>
        <v>7.2076372315035803E-2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252.01640158264834</v>
      </c>
      <c r="G33" s="674">
        <f>IF(ISNUMBER(STDEV(G8:G30)),STDEV(G8:G30),"-")</f>
        <v>286.71048945217325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978.47512560543487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139.78120658473983</v>
      </c>
      <c r="BD33" s="673"/>
      <c r="BE33" s="673">
        <f>IF(ISNUMBER(STDEV(BE8:BE30)),STDEV(BE8:BE30),"-")</f>
        <v>0</v>
      </c>
      <c r="BF33" s="678">
        <f>IF(ISNUMBER(STDEV(BF8:BF30)),STDEV(BF8:BF30),"-")</f>
        <v>0</v>
      </c>
      <c r="BG33" s="1052">
        <f>IF(ISNUMBER(STDEV(BG8:BG30)),STDEV(BG8:BG30),"-")</f>
        <v>0.18891354743447933</v>
      </c>
      <c r="BH33" s="1058">
        <f>IF(ISNUMBER(STDEV(BH8:BH30)),STDEV(BH8:BH30),"-")</f>
        <v>1.7112740482837383</v>
      </c>
      <c r="BI33" s="273">
        <f>IF(ISNUMBER(STDEV(BI8:BI30)),STDEV(BI8:BI30),"-")</f>
        <v>5.3171865759972452E-2</v>
      </c>
      <c r="BJ33" s="244" t="str">
        <f>IF(ISNUMBER(BL33/BM33),BL33/BM33," - ")</f>
        <v xml:space="preserve"> - </v>
      </c>
      <c r="BK33" s="709"/>
      <c r="BL33" s="681">
        <f>IF(ISNUMBER(STDEV(BL8:BL30)),STDEV(BL8:BL30),"-")</f>
        <v>1.8500947282369009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mV+8yfml2EBwT4c+4P5StIPOslTstn4McAzZvWknq7nogXorB9/4Rkr58TTUSkCJRQhxhfFdqfxWwCMCT3pfg==" saltValue="dG6l3hBQdVAVXQtykK5s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VILLANUEVA DE LA SERENA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3</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425</v>
      </c>
      <c r="AA12" s="551" t="str">
        <f>IF(ISNUMBER(IF(J_V="SI",Datos!L12,Datos!L12+Datos!AB12)-IF(Monitorios="SI",Datos!CD12,0)),
                          IF(J_V="SI",Datos!L12,Datos!L12+Datos!AB12)-IF(Monitorios="SI",Datos!CD12,0),
                          " - ")</f>
        <v xml:space="preserve"> - </v>
      </c>
      <c r="AB12" s="549"/>
      <c r="AC12" s="549"/>
      <c r="AD12" s="563"/>
      <c r="AE12" s="563">
        <f>IF(ISNUMBER(Datos!R12),Datos!R12," - ")</f>
        <v>2144</v>
      </c>
      <c r="AF12" s="693" t="str">
        <f>IF(ISNUMBER(Datos!BV12),Datos!BV12," - ")</f>
        <v xml:space="preserve"> - </v>
      </c>
      <c r="AG12" s="552" t="str">
        <f>IF(ISNUMBER(Datos!DV12),Datos!DV12," - ")</f>
        <v xml:space="preserve"> - </v>
      </c>
      <c r="AH12" s="553"/>
      <c r="AI12" s="554"/>
      <c r="AJ12" s="552">
        <f>IF(ISNUMBER(Datos!M12),Datos!M12," - ")</f>
        <v>285</v>
      </c>
      <c r="AK12" s="693">
        <f>IF(ISNUMBER(Datos!N12),Datos!N12," - ")</f>
        <v>515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5.8890166762507192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7.9013588324106696E-2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582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425</v>
      </c>
      <c r="AA14" s="1199">
        <f t="shared" si="3"/>
        <v>3</v>
      </c>
      <c r="AB14" s="1199">
        <f t="shared" si="3"/>
        <v>0</v>
      </c>
      <c r="AC14" s="1199">
        <f t="shared" si="3"/>
        <v>0</v>
      </c>
      <c r="AD14" s="1199">
        <f t="shared" si="3"/>
        <v>0</v>
      </c>
      <c r="AE14" s="1199">
        <f t="shared" si="3"/>
        <v>2162</v>
      </c>
      <c r="AF14" s="1211">
        <f t="shared" si="3"/>
        <v>0</v>
      </c>
      <c r="AG14" s="1211">
        <f t="shared" si="3"/>
        <v>0</v>
      </c>
      <c r="AH14" s="1211">
        <f t="shared" si="3"/>
        <v>0</v>
      </c>
      <c r="AI14" s="1211">
        <f t="shared" si="3"/>
        <v>0</v>
      </c>
      <c r="AJ14" s="1211">
        <f t="shared" si="3"/>
        <v>292</v>
      </c>
      <c r="AK14" s="1211">
        <f t="shared" si="3"/>
        <v>515</v>
      </c>
      <c r="AL14" s="1211">
        <f t="shared" si="3"/>
        <v>0</v>
      </c>
      <c r="AM14" s="1211">
        <f t="shared" si="3"/>
        <v>0</v>
      </c>
      <c r="AN14" s="1211">
        <f t="shared" si="3"/>
        <v>0</v>
      </c>
      <c r="AO14" s="1203">
        <f>IF(ISNUMBER(((NºAsuntos!I14/NºAsuntos!G14)*11)/factor_trimestre),((NºAsuntos!I14/NºAsuntos!G14)*11)/factor_trimestre," - ")</f>
        <v>5.8742138364779874</v>
      </c>
      <c r="AP14" s="1213" t="str">
        <f>IF(ISNUMBER(Datos!CI14/Datos!CJ14),Datos!CI14/Datos!CJ14," - ")</f>
        <v xml:space="preserve"> - </v>
      </c>
      <c r="AQ14" s="1236">
        <f t="shared" ref="AQ14:AV14" si="4">SUBTOTAL(9,AQ9:AQ13)</f>
        <v>0</v>
      </c>
      <c r="AR14" s="1236">
        <f t="shared" si="4"/>
        <v>7.9013588324106696E-2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491</v>
      </c>
      <c r="G17" s="552">
        <f>IF(ISNUMBER(IF(D_I="SI",Datos!I17,Datos!I17+Datos!AC17)),IF(D_I="SI",Datos!I17,Datos!I17+Datos!AC17)," - ")</f>
        <v>580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1963</v>
      </c>
      <c r="Z17" s="805">
        <f>IF(ISNUMBER(Datos!Q17),Datos!Q17," - ")</f>
        <v>82</v>
      </c>
      <c r="AA17" s="551">
        <f>IF(ISNUMBER(IF(D_I="SI",Datos!L17,Datos!L17+Datos!AF17)),IF(D_I="SI",Datos!L17,Datos!L17+Datos!AF17)," - ")</f>
        <v>519</v>
      </c>
      <c r="AB17" s="549"/>
      <c r="AC17" s="549"/>
      <c r="AD17" s="563"/>
      <c r="AE17" s="563">
        <f>IF(ISNUMBER(Datos!R17),Datos!R17," - ")</f>
        <v>84</v>
      </c>
      <c r="AF17" s="693" t="str">
        <f>IF(ISNUMBER(Datos!BV17),Datos!BV17," - ")</f>
        <v xml:space="preserve"> - </v>
      </c>
      <c r="AG17" s="552"/>
      <c r="AH17" s="553"/>
      <c r="AI17" s="554"/>
      <c r="AJ17" s="552">
        <f>IF(ISNUMBER(Datos!M17),Datos!M17," - ")</f>
        <v>233</v>
      </c>
      <c r="AK17" s="693">
        <f>IF(ISNUMBER(Datos!N17),Datos!N17," - ")</f>
        <v>1094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2.9083036169128889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140</v>
      </c>
      <c r="Z18" s="805">
        <f>IF(ISNUMBER(Datos!Q18),Datos!Q18," - ")</f>
        <v>2</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491</v>
      </c>
      <c r="G23" s="1197">
        <f>SUBTOTAL(9,G16:G22)</f>
        <v>611</v>
      </c>
      <c r="H23" s="1240">
        <f>SUBTOTAL(9,H16:H22)</f>
        <v>0</v>
      </c>
      <c r="I23" s="1217">
        <f>SUBTOTAL(9,I16:I22)</f>
        <v>0</v>
      </c>
      <c r="J23" s="1164">
        <f>SUBTOTAL(9,J15:J22)</f>
        <v>0</v>
      </c>
      <c r="K23" s="1240">
        <f t="shared" ref="K23:S23" si="5">SUBTOTAL(9,K16:K22)</f>
        <v>0</v>
      </c>
      <c r="L23" s="1240">
        <f t="shared" si="5"/>
        <v>0</v>
      </c>
      <c r="M23" s="1240">
        <f t="shared" si="5"/>
        <v>0</v>
      </c>
      <c r="N23" s="1240">
        <f t="shared" si="5"/>
        <v>78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2103</v>
      </c>
      <c r="Z23" s="1240">
        <f t="shared" si="6"/>
        <v>84</v>
      </c>
      <c r="AA23" s="1240">
        <f t="shared" si="6"/>
        <v>549</v>
      </c>
      <c r="AB23" s="1240">
        <f t="shared" si="6"/>
        <v>0</v>
      </c>
      <c r="AC23" s="1240">
        <f t="shared" si="6"/>
        <v>0</v>
      </c>
      <c r="AD23" s="1240">
        <f t="shared" si="6"/>
        <v>0</v>
      </c>
      <c r="AE23" s="1240">
        <f t="shared" si="6"/>
        <v>84</v>
      </c>
      <c r="AF23" s="1240">
        <f t="shared" si="6"/>
        <v>0</v>
      </c>
      <c r="AG23" s="1240">
        <f t="shared" si="6"/>
        <v>0</v>
      </c>
      <c r="AH23" s="1240">
        <f t="shared" si="6"/>
        <v>0</v>
      </c>
      <c r="AI23" s="1240">
        <f t="shared" si="6"/>
        <v>0</v>
      </c>
      <c r="AJ23" s="1240">
        <f t="shared" si="6"/>
        <v>247</v>
      </c>
      <c r="AK23" s="1240">
        <f t="shared" si="6"/>
        <v>1154</v>
      </c>
      <c r="AL23" s="1240">
        <f t="shared" si="6"/>
        <v>0</v>
      </c>
      <c r="AM23" s="1240">
        <f t="shared" si="6"/>
        <v>0</v>
      </c>
      <c r="AN23" s="1240">
        <f t="shared" si="6"/>
        <v>0</v>
      </c>
      <c r="AO23" s="1242">
        <f>IF(ISNUMBER(((NºAsuntos!I23/NºAsuntos!G23)*11)/factor_trimestre),((NºAsuntos!I23/NºAsuntos!G23)*11)/factor_trimestre," - ")</f>
        <v>2.8716119828815976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497</v>
      </c>
      <c r="G31" s="1117">
        <f t="shared" si="12"/>
        <v>617</v>
      </c>
      <c r="H31" s="1118">
        <f t="shared" si="12"/>
        <v>0</v>
      </c>
      <c r="I31" s="1117">
        <f t="shared" si="12"/>
        <v>0</v>
      </c>
      <c r="J31" s="1119">
        <f t="shared" si="12"/>
        <v>0</v>
      </c>
      <c r="K31" s="1117">
        <f t="shared" si="12"/>
        <v>0</v>
      </c>
      <c r="L31" s="1120">
        <f t="shared" si="12"/>
        <v>0</v>
      </c>
      <c r="M31" s="1117">
        <f t="shared" si="12"/>
        <v>0</v>
      </c>
      <c r="N31" s="1118">
        <f t="shared" si="12"/>
        <v>660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2113</v>
      </c>
      <c r="Z31" s="1124">
        <f t="shared" si="13"/>
        <v>509</v>
      </c>
      <c r="AA31" s="1125">
        <f t="shared" si="13"/>
        <v>552</v>
      </c>
      <c r="AB31" s="1125">
        <f t="shared" si="13"/>
        <v>0</v>
      </c>
      <c r="AC31" s="1125">
        <f t="shared" si="13"/>
        <v>0</v>
      </c>
      <c r="AD31" s="1126">
        <f t="shared" si="13"/>
        <v>0</v>
      </c>
      <c r="AE31" s="1126">
        <f t="shared" si="13"/>
        <v>2246</v>
      </c>
      <c r="AF31" s="1127">
        <f t="shared" si="13"/>
        <v>0</v>
      </c>
      <c r="AG31" s="1128">
        <f t="shared" si="13"/>
        <v>0</v>
      </c>
      <c r="AH31" s="1129">
        <f t="shared" si="13"/>
        <v>0</v>
      </c>
      <c r="AI31" s="1127">
        <f t="shared" si="13"/>
        <v>0</v>
      </c>
      <c r="AJ31" s="1117">
        <f t="shared" si="13"/>
        <v>539</v>
      </c>
      <c r="AK31" s="1117">
        <f t="shared" si="13"/>
        <v>1669</v>
      </c>
      <c r="AL31" s="1117">
        <f t="shared" si="13"/>
        <v>0</v>
      </c>
      <c r="AM31" s="1130">
        <f t="shared" si="13"/>
        <v>0</v>
      </c>
      <c r="AN31" s="1120">
        <f>IF(ISNUMBER(Datos!K31/Datos!J31),Datos!K31/Datos!J31," - ")</f>
        <v>0.96768162393162394</v>
      </c>
      <c r="AO31" s="1120">
        <f>IF(ISNUMBER(FIND("06",Criterios!A8,1)),(IF(ISNUMBER(((Datos!R31/Datos!Q31)*11)/factor_trimestre),((Datos!R31/Datos!Q31)*11)/factor_trimestre," - ")),(IF(ISNUMBER(((Datos!L31/Datos!K31)*11)/factor_trimestre),((Datos!L31/Datos!K31)*11)/factor_trimestre," - ")))</f>
        <v>4.3234888214187137</v>
      </c>
      <c r="AP31" s="1131" t="str">
        <f>IF(ISNUMBER(Datos!CI31/Datos!CJ31),Datos!CI31/Datos!CJ31," - ")</f>
        <v xml:space="preserve"> - </v>
      </c>
      <c r="AQ31" s="1131">
        <f>IF(OR(ISNUMBER(FIND("01",Criterios!A8,1)),ISNUMBER(FIND("02",Criterios!A8,1)),ISNUMBER(FIND("03",Criterios!A8,1)),ISNUMBER(FIND("04",Criterios!A8,1))),(J31-Y31+K31)/(F31-K31),(I31-Y31+K31)/(F31-K31))</f>
        <v>-4.2515090543259557</v>
      </c>
      <c r="AR31" s="1131">
        <f>IF(ISNUMBER((Datos!P31-Datos!Q31+O31)/(Datos!R31-Datos!P31+Datos!Q31-O31)),(Datos!P31-Datos!Q31+O31)/(Datos!R31-Datos!P31+Datos!Q31-O31)," - ")</f>
        <v>7.2076372315035803E-2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252.01640158264834</v>
      </c>
      <c r="G33" s="674">
        <f>IF(ISNUMBER(STDEV(G8:G30)),STDEV(G8:G30),"-")</f>
        <v>286.71048945217325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139.78120658473983</v>
      </c>
      <c r="AK33" s="276"/>
      <c r="AL33" s="276">
        <f>IF(ISNUMBER(STDEV(AL8:AL30)),STDEV(AL8:AL30),"-")</f>
        <v>0</v>
      </c>
      <c r="AM33" s="278">
        <f>IF(ISNUMBER(STDEV(AM8:AM30)),STDEV(AM8:AM30),"-")</f>
        <v>0</v>
      </c>
      <c r="AN33" s="660">
        <f>IF(ISNUMBER(STDEV(AN8:AN30)),STDEV(AN8:AN30),"-")</f>
        <v>0</v>
      </c>
      <c r="AO33" s="661">
        <f>IF(ISNUMBER(STDEV(AO8:AO30)),STDEV(AO8:AO30),"-")</f>
        <v>1.5892458581258704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GzbFTCIoy6I0UKyi8GUIEorcKHFiM/D7FvVGqAUzcE9fHLaXHQDBlihJe2catun/aN0+09vz74sk2xEsQQMhA==" saltValue="hpbNsL4V2S7DYSH3NDTE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35FxA4QWN/9T8q5gI75fEo7VzlI22E6sWZEMElyx8swLsjEr/EEDLUWYAGCE2SmB0pXJ/0fUeKC48/jGe0LA==" saltValue="FTKE2iWQtiQ9GalcO/wZ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505OWr5379zAdWKhxOPLZGwfpRx5GyJgdT5cGzd6oQ6lF0M72aszHbIpmG6XiP4KGNQRc2vw5LHtlDFlmG8A==" saltValue="uzg/cFPjmcFG9m+WW0+E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VILLANUEVA DE LA SERENA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0.16695254431103487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0.11805327621868032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1OSbym32WeaTRRQbhrm/LJpMuSGJ3Bfay230qEP4GGIsC8tnUqxPoF5WuCW0VV86qcQfIt3oULBR3wIibN+L8w==" saltValue="4Stpto1ehlgLkKoKRNs4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2u2VoKRF4rxEWjNN3V6qa8bBkweqRDVF9Gt7+sH5d0rlAhGu4p3BZcqfPSSq3BO7shSL4p8diklGbTqK5OrE6Q==" saltValue="ofk4fd+wqDx4vVKjdzav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VILLANUEVA DE LA SERENA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7</v>
      </c>
      <c r="F10" s="452">
        <f>IF(ISNUMBER(E10/B10),E10/B10," - ")</f>
        <v>7</v>
      </c>
      <c r="G10" s="451">
        <f>IF(ISNUMBER(Datos!K10),Datos!K10," - ")</f>
        <v>10</v>
      </c>
      <c r="H10" s="452">
        <f>IF(ISNUMBER(G10/B10),G10/B10," - ")</f>
        <v>10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914</v>
      </c>
      <c r="D12" s="452">
        <f>IF(ISNUMBER(C12/Datos!BH12),C12/Datos!BH12," - ")</f>
        <v>457</v>
      </c>
      <c r="E12" s="451">
        <f>IF(ISNUMBER(IF(J_V="SI",Datos!J12,Datos!J12+Datos!Z12)),IF(J_V="SI",Datos!J12,Datos!J12+Datos!Z12)," - ")</f>
        <v>1863</v>
      </c>
      <c r="F12" s="452">
        <f>IF(ISNUMBER(E12/B12),E12/B12," - ")</f>
        <v>931.5</v>
      </c>
      <c r="G12" s="451">
        <f>IF(ISNUMBER(IF(J_V="SI",Datos!K12,Datos!K12+Datos!AA12)),IF(J_V="SI",Datos!K12,Datos!K12+Datos!AA12)," - ")</f>
        <v>1739</v>
      </c>
      <c r="H12" s="452">
        <f>IF(ISNUMBER(G12/B12),G12/B12," - ")</f>
        <v>869.5</v>
      </c>
      <c r="I12" s="451">
        <f>IF(ISNUMBER(IF(J_V="SI",Datos!L12,Datos!L12+Datos!AB12)),IF(J_V="SI",Datos!L12,Datos!L12+Datos!AB12)," - ")</f>
        <v>931</v>
      </c>
      <c r="J12" s="452">
        <f>IF(ISNUMBER(I12/B12),I12/B12," - ")</f>
        <v>465.5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920</v>
      </c>
      <c r="D14" s="1147" t="str">
        <f>IF(ISNUMBER(C14/Datos!BI14),C14/Datos!BI14," - ")</f>
        <v xml:space="preserve"> - </v>
      </c>
      <c r="E14" s="1146">
        <f>SUBTOTAL(9,E8:E13)</f>
        <v>1870</v>
      </c>
      <c r="F14" s="1147">
        <f>IF(ISNUMBER(E14/B14),E14/B14," - ")</f>
        <v>935</v>
      </c>
      <c r="G14" s="1146">
        <f>SUBTOTAL(9,G8:G13)</f>
        <v>1749</v>
      </c>
      <c r="H14" s="1147">
        <f>IF(ISNUMBER(G14/B14),G14/B14," - ")</f>
        <v>874.5</v>
      </c>
      <c r="I14" s="1146">
        <f>SUBTOTAL(9,I8:I13)</f>
        <v>934</v>
      </c>
      <c r="J14" s="1147">
        <f>IF(ISNUMBER(I14/B14),I14/B14," - ")</f>
        <v>467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580</v>
      </c>
      <c r="D17" s="452">
        <f>IF(ISNUMBER(C17/Datos!BH17),C17/Datos!BH17," - ")</f>
        <v>290</v>
      </c>
      <c r="E17" s="451">
        <f>IF(ISNUMBER(IF(D_I="SI",Datos!J17,Datos!J17+Datos!AD17)),IF(D_I="SI",Datos!J17,Datos!J17+Datos!AD17)," - ")</f>
        <v>1991</v>
      </c>
      <c r="F17" s="452">
        <f>IF(ISNUMBER(E17/B17),E17/B17," - ")</f>
        <v>995.5</v>
      </c>
      <c r="G17" s="451">
        <f>IF(ISNUMBER(IF(D_I="SI",Datos!K17,Datos!K17+Datos!AE17)),IF(D_I="SI",Datos!K17,Datos!K17+Datos!AE17)," - ")</f>
        <v>1963</v>
      </c>
      <c r="H17" s="452">
        <f>IF(ISNUMBER(G17/B17),G17/B17," - ")</f>
        <v>981.5</v>
      </c>
      <c r="I17" s="451">
        <f>IF(ISNUMBER(IF(D_I="SI",Datos!L17,Datos!L17+Datos!AF17)),IF(D_I="SI",Datos!L17,Datos!L17+Datos!AF17)," - ")</f>
        <v>519</v>
      </c>
      <c r="J17" s="452">
        <f>IF(ISNUMBER(I17/B17),I17/B17," - ")</f>
        <v>259.5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139</v>
      </c>
      <c r="F18" s="452">
        <f>IF(ISNUMBER(E18/B18),E18/B18," - ")</f>
        <v>139</v>
      </c>
      <c r="G18" s="451">
        <f>IF(ISNUMBER(IF(D_I="SI",Datos!K18,Datos!K18+Datos!AE18)),IF(D_I="SI",Datos!K18,Datos!K18+Datos!AE18)," - ")</f>
        <v>140</v>
      </c>
      <c r="H18" s="452">
        <f>IF(ISNUMBER(G18/B18),G18/B18," - ")</f>
        <v>140</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611</v>
      </c>
      <c r="D23" s="1147" t="str">
        <f>IF(ISNUMBER(C23/Datos!BI23),C23/Datos!BI23," - ")</f>
        <v xml:space="preserve"> - </v>
      </c>
      <c r="E23" s="1146">
        <f>SUBTOTAL(9,E15:E22)</f>
        <v>2130</v>
      </c>
      <c r="F23" s="1147">
        <f>IF(ISNUMBER(E23/B23),E23/B23," - ")</f>
        <v>1065</v>
      </c>
      <c r="G23" s="1146">
        <f>SUBTOTAL(9,G15:G22)</f>
        <v>2103</v>
      </c>
      <c r="H23" s="1147">
        <f>IF(ISNUMBER(G23/B23),G23/B23," - ")</f>
        <v>1051.5</v>
      </c>
      <c r="I23" s="1146">
        <f>SUBTOTAL(9,I15:I22)</f>
        <v>549</v>
      </c>
      <c r="J23" s="1147">
        <f>IF(ISNUMBER(I23/B23),I23/B23," - ")</f>
        <v>274.5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1531</v>
      </c>
      <c r="D31" s="1085" t="str">
        <f>IF(ISNUMBER(C31/Datos!BI31),C31/Datos!BI31," - ")</f>
        <v xml:space="preserve"> - </v>
      </c>
      <c r="E31" s="1084">
        <f>SUBTOTAL(9,E9:E30)</f>
        <v>4000</v>
      </c>
      <c r="F31" s="1085">
        <f>IF(ISNUMBER(E31/B31),E31/B31," - ")</f>
        <v>2000</v>
      </c>
      <c r="G31" s="1084">
        <f>SUBTOTAL(9,G9:G30)</f>
        <v>3852</v>
      </c>
      <c r="H31" s="1085">
        <f>IF(ISNUMBER(G31/B31),G31/B31," - ")</f>
        <v>1926</v>
      </c>
      <c r="I31" s="1084">
        <f>SUBTOTAL(9,I9:I30)</f>
        <v>1483</v>
      </c>
      <c r="J31" s="1085">
        <f>IF(ISNUMBER(I31/B31),I31/B31," - ")</f>
        <v>741.5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QWQruvQ3adgiEye7IBFLiokFxM41cJp8myesxWw7A2in9ZZXlvgKgR8TGiMmC3i1piJb67xnejsHiar4ptfRg==" saltValue="deOQvzZetlxOGJUTEPox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VILLANUEVA DE LA SERENA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285</v>
      </c>
      <c r="AM12" s="914">
        <f>IF(ISNUMBER(Datos!N12+DatosP!N17),Datos!N12+DatosP!N17," - ")</f>
        <v>515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5.8890166762507192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7.9013588324106696E-2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582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425</v>
      </c>
      <c r="AE14" s="1257">
        <f t="shared" si="1"/>
        <v>0</v>
      </c>
      <c r="AF14" s="1257">
        <f t="shared" si="1"/>
        <v>3</v>
      </c>
      <c r="AG14" s="1257">
        <f t="shared" si="1"/>
        <v>0</v>
      </c>
      <c r="AH14" s="1257">
        <f t="shared" si="1"/>
        <v>2144</v>
      </c>
      <c r="AI14" s="1257">
        <f t="shared" si="1"/>
        <v>0</v>
      </c>
      <c r="AJ14" s="1257">
        <f t="shared" si="1"/>
        <v>0</v>
      </c>
      <c r="AK14" s="1257">
        <f t="shared" si="1"/>
        <v>0</v>
      </c>
      <c r="AL14" s="1257">
        <f t="shared" si="1"/>
        <v>292</v>
      </c>
      <c r="AM14" s="1257">
        <f t="shared" si="1"/>
        <v>515</v>
      </c>
      <c r="AN14" s="1257">
        <f t="shared" si="1"/>
        <v>0</v>
      </c>
      <c r="AO14" s="1257">
        <f t="shared" si="1"/>
        <v>0</v>
      </c>
      <c r="AP14" s="1262">
        <f>IF(ISNUMBER(((Datos!L14/Datos!K14)*11)/factor_trimestre),((Datos!L14/Datos!K14)*11)/factor_trimestre," - ")</f>
        <v>6.3322368421052637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-1.6666666666666667</v>
      </c>
      <c r="AU14" s="1257" t="str">
        <f>IF(ISNUMBER((DatosP!#REF!-DatosP!#REF!+DatosP!#REF!)/(DatosP!#REF!+DatosP!#REF!-DatosP!#REF!-DatosP!#REF!)),(DatosP!#REF!-DatosP!#REF!+DatosP!#REF!)/(DatosP!#REF!+DatosP!#REF!-DatosP!#REF!-DatosP!#REF!)," - ")</f>
        <v xml:space="preserve"> - </v>
      </c>
      <c r="AV14" s="1263">
        <f>SUBTOTAL(9,AV9:AV13)</f>
        <v>7.9013588324106696E-2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2.8716119828815976</v>
      </c>
      <c r="AQ23" s="1262">
        <f>IF(ISNUMBER(((Datos!M23/Datos!L23)*11)/factor_trimestre),((Datos!M23/Datos!L23)*11)/factor_trimestre," - ")</f>
        <v>4.9489981785063755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582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425</v>
      </c>
      <c r="AE31" s="1284">
        <f t="shared" si="9"/>
        <v>0</v>
      </c>
      <c r="AF31" s="1285">
        <f t="shared" si="9"/>
        <v>3</v>
      </c>
      <c r="AG31" s="1285">
        <f t="shared" si="9"/>
        <v>0</v>
      </c>
      <c r="AH31" s="1285">
        <f t="shared" si="9"/>
        <v>2144</v>
      </c>
      <c r="AI31" s="1285">
        <f t="shared" si="9"/>
        <v>0</v>
      </c>
      <c r="AJ31" s="1286">
        <f t="shared" si="9"/>
        <v>0</v>
      </c>
      <c r="AK31" s="1286">
        <f t="shared" si="9"/>
        <v>0</v>
      </c>
      <c r="AL31" s="1278">
        <f t="shared" si="9"/>
        <v>292</v>
      </c>
      <c r="AM31" s="1278">
        <f t="shared" si="9"/>
        <v>515</v>
      </c>
      <c r="AN31" s="1278">
        <f t="shared" si="9"/>
        <v>0</v>
      </c>
      <c r="AO31" s="1278">
        <f t="shared" si="9"/>
        <v>0</v>
      </c>
      <c r="AP31" s="1278">
        <f>IF(ISNUMBER(((Datos!L31/Datos!K31)*11)/factor_trimestre),((Datos!L31/Datos!K31)*11)/factor_trimestre," - ")</f>
        <v>4.3234888214187137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7.2076372315035803E-2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148.11842109159369</v>
      </c>
      <c r="AM33" s="1006"/>
      <c r="AN33" s="1006">
        <f>IF(ISNUMBER(STDEV(AN8:AN30)),STDEV(AN8:AN30),"-")</f>
        <v>0</v>
      </c>
      <c r="AO33" s="1012">
        <f>IF(ISNUMBER(STDEV(AO8:AO30)),STDEV(AO8:AO30),"-")</f>
        <v>0</v>
      </c>
      <c r="AP33" s="1065">
        <f>IF(ISNUMBER(STDEV(AP8:AP30)),STDEV(AP8:AP30),"-")</f>
        <v>1.7644187788286543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QcEFe41VIgE5NkTseDDeeoUj5d1nZFQJTL5OiEwRGF7qfo2aA9SvdAnq8BxJcRzfhzZwwbAEKCxOxIBx4XVQ==" saltValue="iGbQ+EYEi2F5hlqzB8Ca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VILLANUEVA DE LA SERENA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tgBJl6JVE9ccK0wyhmkuWhhuqR+9ZdYIWgVRcqzL5KmbXWNw/5B25eWIB29qrvezOlRK/uwXrklhiGtBccKvg==" saltValue="k/rgcdy99SHIWnWVUO6D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VILLANUEVA DE LA SERENA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285</v>
      </c>
      <c r="E12" s="452">
        <f t="shared" si="0"/>
        <v>142.5</v>
      </c>
      <c r="F12" s="451">
        <f>IF(ISNUMBER(Datos!N12),Datos!N12," - ")</f>
        <v>515</v>
      </c>
      <c r="G12" s="452">
        <f t="shared" si="1"/>
        <v>257.5</v>
      </c>
      <c r="H12" s="451">
        <f>IF(ISNUMBER(Datos!O12),Datos!O12," - ")</f>
        <v>1088</v>
      </c>
      <c r="I12" s="452">
        <f t="shared" si="2"/>
        <v>544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292</v>
      </c>
      <c r="E14" s="1147">
        <f t="shared" si="0"/>
        <v>97.333333333333329</v>
      </c>
      <c r="F14" s="1146">
        <f>SUBTOTAL(9,F9:F13)</f>
        <v>515</v>
      </c>
      <c r="G14" s="1147">
        <f t="shared" si="1"/>
        <v>171.66666666666666</v>
      </c>
      <c r="H14" s="1146">
        <f>SUBTOTAL(9,H9:H13)</f>
        <v>1089</v>
      </c>
      <c r="I14" s="1147">
        <f>IF(ISNUMBER(H14/B14),H14/B14," - ")</f>
        <v>363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233</v>
      </c>
      <c r="E17" s="452">
        <f t="shared" si="3"/>
        <v>116.5</v>
      </c>
      <c r="F17" s="451">
        <f>IF(ISNUMBER(Datos!N17),Datos!N17," - ")</f>
        <v>1094</v>
      </c>
      <c r="G17" s="452">
        <f t="shared" si="4"/>
        <v>547</v>
      </c>
      <c r="H17" s="451">
        <f>IF(ISNUMBER(Datos!O17),Datos!O17," - ")</f>
        <v>66</v>
      </c>
      <c r="I17" s="452">
        <f t="shared" si="5"/>
        <v>33</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60</v>
      </c>
      <c r="G18" s="452">
        <f>IF(ISNUMBER(F18/B18),F18/B18," - ")</f>
        <v>60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247</v>
      </c>
      <c r="E23" s="1147">
        <f t="shared" si="3"/>
        <v>82.333333333333329</v>
      </c>
      <c r="F23" s="1146">
        <f>SUBTOTAL(9,F16:F22)</f>
        <v>1154</v>
      </c>
      <c r="G23" s="1147">
        <f t="shared" si="4"/>
        <v>384.66666666666669</v>
      </c>
      <c r="H23" s="1146">
        <f>SUBTOTAL(9,H16:H22)</f>
        <v>68</v>
      </c>
      <c r="I23" s="1147">
        <f>IF(ISNUMBER(H23/B23),H23/B23," - ")</f>
        <v>22.666666666666668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539</v>
      </c>
      <c r="E31" s="1085">
        <f>IF(ISNUMBER(D31/B31),D31/B31," - ")</f>
        <v>269.5</v>
      </c>
      <c r="F31" s="1084">
        <f>SUBTOTAL(9,F8:F30)</f>
        <v>1669</v>
      </c>
      <c r="G31" s="1085">
        <f>IF(ISNUMBER(F31/B31),F31/B31," - ")</f>
        <v>834.5</v>
      </c>
      <c r="H31" s="1084">
        <f>SUBTOTAL(9,H8:H30)</f>
        <v>1157</v>
      </c>
      <c r="I31" s="1085">
        <f>IF(ISNUMBER(H31/B31),H31/B31," - ")</f>
        <v>578.5</v>
      </c>
    </row>
    <row r="34" spans="1:1">
      <c r="A34" s="439" t="str">
        <f>Criterios!A4</f>
        <v>Fecha Informe: 14 abr. 2023</v>
      </c>
    </row>
    <row r="39" spans="1:1">
      <c r="A39" s="462"/>
    </row>
  </sheetData>
  <sheetProtection algorithmName="SHA-512" hashValue="ZK+X2MssaMb1/8hbgRyUrb+wbV+jAlomwqmwi3nN4YVGIYfyvhAcm4FziWTpKc1lu56ZDWXgphJj3oxC856Zpg==" saltValue="1Mw2hGNJbQA7JjS6+pe4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VILLANUEVA DE LA SERENA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582</v>
      </c>
      <c r="C12" s="489">
        <f>IF(ISNUMBER(Datos!Q12),Datos!Q12," - ")</f>
        <v>425</v>
      </c>
      <c r="D12" s="456">
        <f>IF(ISNUMBER(Datos!R12),Datos!R12," - ")</f>
        <v>2144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582</v>
      </c>
      <c r="C14" s="1150">
        <f>SUBTOTAL(9,C9:C13)</f>
        <v>425</v>
      </c>
      <c r="D14" s="1148">
        <f>SUBTOTAL(9,D9:D13)</f>
        <v>2162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77</v>
      </c>
      <c r="C17" s="489">
        <f>IF(ISNUMBER(Datos!Q17),Datos!Q17," - ")</f>
        <v>82</v>
      </c>
      <c r="D17" s="456">
        <f>IF(ISNUMBER(Datos!R17),Datos!R17," - ")</f>
        <v>84</v>
      </c>
    </row>
    <row r="18" spans="1:4">
      <c r="A18" s="450" t="str">
        <f>Datos!A18</f>
        <v>Jdos. Violencia contra la mujer</v>
      </c>
      <c r="B18" s="488">
        <f>IF(ISNUMBER(Datos!P18),Datos!P18," - ")</f>
        <v>1</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78</v>
      </c>
      <c r="C23" s="1150">
        <f>SUBTOTAL(9,C16:C22)</f>
        <v>84</v>
      </c>
      <c r="D23" s="1148">
        <f>SUBTOTAL(9,D16:D22)</f>
        <v>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660</v>
      </c>
      <c r="C31" s="1089">
        <f>SUBTOTAL(9,C8:C30)</f>
        <v>509</v>
      </c>
      <c r="D31" s="1090">
        <f>SUBTOTAL(9,D8:D30)</f>
        <v>2246</v>
      </c>
    </row>
    <row r="32" spans="1:4" ht="7.5" customHeight="1"/>
    <row r="33" spans="1:1" ht="6" customHeight="1"/>
    <row r="34" spans="1:1">
      <c r="A34" s="439" t="str">
        <f>Criterios!A4</f>
        <v>Fecha Informe: 14 abr. 2023</v>
      </c>
    </row>
    <row r="39" spans="1:1">
      <c r="A39" s="462"/>
    </row>
  </sheetData>
  <sheetProtection algorithmName="SHA-512" hashValue="72Sqi3VJzgELuVafiCMNoRstVDp8gmmTIZv2ql8YR9hh8nnUi+uU2+DijR4Xt8MNkNHb1qCu0ZA9IcBBoH/OsQ==" saltValue="jZmXYXYpW9vRONIQfmgG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VILLANUEVA DE LA SERENA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v>
      </c>
      <c r="D10" s="515">
        <f>IF(ISNUMBER((Datos!K10-Datos!U10)/Datos!U10),(Datos!K10-Datos!U10)/Datos!U10," - ")</f>
        <v>-0.33333333333333331</v>
      </c>
      <c r="E10" s="515">
        <f>IF(ISNUMBER((Datos!L10-Datos!V10)/Datos!V10),(Datos!L10-Datos!V10)/Datos!V10," - ")</f>
        <v>-0.5</v>
      </c>
      <c r="F10" s="515">
        <f>IF(ISNUMBER((Datos!M10-Datos!W10)/Datos!W10),(Datos!M10-Datos!W10)/Datos!W10," - ")</f>
        <v>-0.3</v>
      </c>
      <c r="G10" s="516">
        <f>IF(ISNUMBER((Datos!N10-Datos!X10)/Datos!X10),(Datos!N10-Datos!X10)/Datos!X10," - ")</f>
        <v>-1</v>
      </c>
      <c r="H10" s="514">
        <f>IF(ISNUMBER(((NºAsuntos!G10/NºAsuntos!E10)-Datos!BD10)/Datos!BD10),((NºAsuntos!G10/NºAsuntos!E10)-Datos!BD10)/Datos!BD10," - ")</f>
        <v>0.33333333333333343</v>
      </c>
      <c r="I10" s="515">
        <f>IF(ISNUMBER(((NºAsuntos!I10/NºAsuntos!G10)-Datos!BE10)/Datos!BE10),((NºAsuntos!I10/NºAsuntos!G10)-Datos!BE10)/Datos!BE10," - ")</f>
        <v>-0.25000000000000006</v>
      </c>
      <c r="J10" s="521">
        <f>IF(ISNUMBER((('Resol  Asuntos'!D10/NºAsuntos!G10)-Datos!BF10)/Datos!BF10),(('Resol  Asuntos'!D10/NºAsuntos!G10)-Datos!BF10)/Datos!BF10," - ")</f>
        <v>4.9999999999999989E-2</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2.3516237402015677E-2</v>
      </c>
      <c r="C12" s="515">
        <f>IF(ISNUMBER(
   IF(J_V="SI",(Datos!J12-Datos!T12)/Datos!T12,(Datos!J12+Datos!Z12-(Datos!T12+Datos!AH12))/(Datos!T12+Datos!AH12))
     ),IF(J_V="SI",(Datos!J12-Datos!T12)/Datos!T12,(Datos!J12+Datos!Z12-(Datos!T12+Datos!AH12))/(Datos!T12+Datos!AH12))," - ")</f>
        <v>0.1155688622754491</v>
      </c>
      <c r="D12" s="515">
        <f>IF(ISNUMBER(
   IF(J_V="SI",(Datos!K12-Datos!U12)/Datos!U12,(Datos!K12+Datos!AA12-(Datos!U12+Datos!AI12))/(Datos!U12+Datos!AI12))
     ),IF(J_V="SI",(Datos!K12-Datos!U12)/Datos!U12,(Datos!K12+Datos!AA12-(Datos!U12+Datos!AI12))/(Datos!U12+Datos!AI12))," - ")</f>
        <v>0.11118210862619808</v>
      </c>
      <c r="E12" s="515">
        <f>IF(ISNUMBER(
   IF(J_V="SI",(Datos!L12-Datos!V12)/Datos!V12,(Datos!L12+Datos!AB12-(Datos!V12+Datos!AJ12))/(Datos!V12+Datos!AJ12))
     ),IF(J_V="SI",(Datos!L12-Datos!V12)/Datos!V12,(Datos!L12+Datos!AB12-(Datos!V12+Datos!AJ12))/(Datos!V12+Datos!AJ12))," - ")</f>
        <v>1.8599562363238512E-2</v>
      </c>
      <c r="F12" s="515">
        <f>IF(ISNUMBER((Datos!M12-Datos!W12)/Datos!W12),(Datos!M12-Datos!W12)/Datos!W12," - ")</f>
        <v>-7.4675324675324672E-2</v>
      </c>
      <c r="G12" s="516">
        <f>IF(ISNUMBER((Datos!N12-Datos!X12)/Datos!X12),(Datos!N12-Datos!X12)/Datos!X12," - ")</f>
        <v>0.12445414847161572</v>
      </c>
      <c r="H12" s="514">
        <f>IF(ISNUMBER(((NºAsuntos!G12/NºAsuntos!E12)-Datos!BD12)/Datos!BD12),((NºAsuntos!G12/NºAsuntos!E12)-Datos!BD12)/Datos!BD12," - ")</f>
        <v>-3.9323019829571306E-3</v>
      </c>
      <c r="I12" s="515">
        <f>IF(ISNUMBER(((NºAsuntos!I12/NºAsuntos!G12)-Datos!BE12)/Datos!BE12),((NºAsuntos!I12/NºAsuntos!G12)-Datos!BE12)/Datos!BE12," - ")</f>
        <v>-8.3318967740961258E-2</v>
      </c>
      <c r="J12" s="521">
        <f>IF(ISNUMBER((('Resol  Asuntos'!D12/NºAsuntos!G12)-Datos!BF12)/Datos!BF12),(('Resol  Asuntos'!D12/NºAsuntos!G12)-Datos!BF12)/Datos!BF12," - ")</f>
        <v>-0.4399921151291587</v>
      </c>
      <c r="K12" s="522">
        <f>IF(ISNUMBER((((NºAsuntos!C12+NºAsuntos!E12)/NºAsuntos!G12)-Datos!BG12)/Datos!BG12),(((NºAsuntos!C12+NºAsuntos!E12)/NºAsuntos!G12)-Datos!BG12)/Datos!BG12," - ")</f>
        <v>-2.4915992772809478E-2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1.6574585635359115E-2</v>
      </c>
      <c r="C14" s="1152">
        <f>IF(ISNUMBER(
   IF(J_V="SI",(Datos!J14-Datos!T14)/Datos!T14,(Datos!J14+Datos!Z14-(Datos!T14+Datos!AH14))/(Datos!T14+Datos!AH14))
     ),IF(J_V="SI",(Datos!J14-Datos!T14)/Datos!T14,(Datos!J14+Datos!Z14-(Datos!T14+Datos!AH14))/(Datos!T14+Datos!AH14))," - ")</f>
        <v>0.11045130641330166</v>
      </c>
      <c r="D14" s="1152">
        <f>IF(ISNUMBER(
   IF(J_V="SI",(Datos!K14-Datos!U14)/Datos!U14,(Datos!K14+Datos!AA14-(Datos!U14+Datos!AI14))/(Datos!U14+Datos!AI14))
     ),IF(J_V="SI",(Datos!K14-Datos!U14)/Datos!U14,(Datos!K14+Datos!AA14-(Datos!U14+Datos!AI14))/(Datos!U14+Datos!AI14))," - ")</f>
        <v>0.1069620253164557</v>
      </c>
      <c r="E14" s="1152">
        <f>IF(ISNUMBER(
   IF(J_V="SI",(Datos!L14-Datos!V14)/Datos!V14,(Datos!L14+Datos!AB14-(Datos!V14+Datos!AJ14))/(Datos!V14+Datos!AJ14))
     ),IF(J_V="SI",(Datos!L14-Datos!V14)/Datos!V14,(Datos!L14+Datos!AB14-(Datos!V14+Datos!AJ14))/(Datos!V14+Datos!AJ14))," - ")</f>
        <v>1.5217391304347827E-2</v>
      </c>
      <c r="F14" s="1153">
        <f>IF(ISNUMBER((Datos!M14-Datos!W14)/Datos!W14),(Datos!M14-Datos!W14)/Datos!W14," - ")</f>
        <v>-8.1761006289308172E-2</v>
      </c>
      <c r="G14" s="1154">
        <f>IF(ISNUMBER((Datos!N14-Datos!X14)/Datos!X14),(Datos!N14-Datos!X14)/Datos!X14," - ")</f>
        <v>0.11956521739130435</v>
      </c>
      <c r="H14" s="1154">
        <f>IF(ISNUMBER(((NºAsuntos!G14/NºAsuntos!E14)-Datos!BD14)/Datos!BD14),((NºAsuntos!G14/NºAsuntos!E14)-Datos!BD14)/Datos!BD14," - ")</f>
        <v>-3.1422189128816175E-3</v>
      </c>
      <c r="I14" s="1154">
        <f>IF(ISNUMBER(((NºAsuntos!I14/NºAsuntos!G14)-Datos!BE14)/Datos!BE14),((NºAsuntos!I14/NºAsuntos!G14)-Datos!BE14)/Datos!BE14," - ")</f>
        <v>-8.2879657941183807E-2</v>
      </c>
      <c r="J14" s="1154">
        <f>IF(ISNUMBER((('Resol  Asuntos'!D14/NºAsuntos!G14)-Datos!BF14)/Datos!BF14),(('Resol  Asuntos'!D14/NºAsuntos!G14)-Datos!BF14)/Datos!BF14," - ")</f>
        <v>-0.43635679484736095</v>
      </c>
      <c r="K14" s="1154">
        <f>IF(ISNUMBER((((NºAsuntos!C14+NºAsuntos!E14)/NºAsuntos!G14)-Datos!BG14)/Datos!BG14),(((NºAsuntos!C14+NºAsuntos!E14)/NºAsuntos!G14)-Datos!BG14)/Datos!BG14," - ")</f>
        <v>-2.6492211738937739E-2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5.0724637681159424E-2</v>
      </c>
      <c r="C17" s="515">
        <f>IF(ISNUMBER(
   IF(D_I="SI",(Datos!J17-Datos!T17)/Datos!T17,(Datos!J17+Datos!AD17-(Datos!T17+Datos!AL17))/(Datos!T17+Datos!AL17))
     ),IF(D_I="SI",(Datos!J17-Datos!T17)/Datos!T17,(Datos!J17+Datos!AD17-(Datos!T17+Datos!AL17))/(Datos!T17+Datos!AL17))," - ")</f>
        <v>0.22222222222222221</v>
      </c>
      <c r="D17" s="515">
        <f>IF(ISNUMBER(
   IF(D_I="SI",(Datos!K17-Datos!U17)/Datos!U17,(Datos!K17+Datos!AE17-(Datos!U17+Datos!AM17))/(Datos!U17+Datos!AM17))
     ),IF(D_I="SI",(Datos!K17-Datos!U17)/Datos!U17,(Datos!K17+Datos!AE17-(Datos!U17+Datos!AM17))/(Datos!U17+Datos!AM17))," - ")</f>
        <v>0.22229140722291407</v>
      </c>
      <c r="E17" s="515">
        <f>IF(ISNUMBER(
   IF(D_I="SI",(Datos!L17-Datos!V17)/Datos!V17,(Datos!L17+Datos!AF17-(Datos!V17+Datos!AN17))/(Datos!V17+Datos!AN17))
     ),IF(D_I="SI",(Datos!L17-Datos!V17)/Datos!V17,(Datos!L17+Datos!AF17-(Datos!V17+Datos!AN17))/(Datos!V17+Datos!AN17))," - ")</f>
        <v>-0.10517241379310345</v>
      </c>
      <c r="F17" s="515">
        <f>IF(ISNUMBER((Datos!M17-Datos!W17)/Datos!W17),(Datos!M17-Datos!W17)/Datos!W17," - ")</f>
        <v>-0.11068702290076336</v>
      </c>
      <c r="G17" s="516">
        <f>IF(ISNUMBER((Datos!N17-Datos!X17)/Datos!X17),(Datos!N17-Datos!X17)/Datos!X17," - ")</f>
        <v>0.22098214285714285</v>
      </c>
      <c r="H17" s="514">
        <f>IF(ISNUMBER(((NºAsuntos!G17/NºAsuntos!E17)-Datos!BD17)/Datos!BD17),((NºAsuntos!G17/NºAsuntos!E17)-Datos!BD17)/Datos!BD17," - ")</f>
        <v>5.6605909656896376E-5</v>
      </c>
      <c r="I17" s="515">
        <f>IF(ISNUMBER(((NºAsuntos!I17/NºAsuntos!G17)-Datos!BE17)/Datos!BE17),((NºAsuntos!I17/NºAsuntos!G17)-Datos!BE17)/Datos!BE17," - ")</f>
        <v>-0.26790977919089354</v>
      </c>
      <c r="J17" s="521">
        <f>IF(ISNUMBER((('Resol  Asuntos'!D17/NºAsuntos!G17)-Datos!BF17)/Datos!BF17),(('Resol  Asuntos'!D17/NºAsuntos!G17)-Datos!BF17)/Datos!BF17," - ")</f>
        <v>-0.27242147670841882</v>
      </c>
      <c r="K17" s="522">
        <f>IF(ISNUMBER((((NºAsuntos!C17+NºAsuntos!E17)/NºAsuntos!G17)-Datos!BG17)/Datos!BG17),(((NºAsuntos!C17+NºAsuntos!E17)/NºAsuntos!G17)-Datos!BG17)/Datos!BG17," - ")</f>
        <v>-3.5567910049814321E-2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-0.40384615384615385</v>
      </c>
      <c r="C18" s="515">
        <f>IF(ISNUMBER(
   IF(D_I="SI",(Datos!J18-Datos!T18)/Datos!T18,(Datos!J18+Datos!AD18-(Datos!T18+Datos!AL18))/(Datos!T18+Datos!AL18))
     ),IF(D_I="SI",(Datos!J18-Datos!T18)/Datos!T18,(Datos!J18+Datos!AD18-(Datos!T18+Datos!AL18))/(Datos!T18+Datos!AL18))," - ")</f>
        <v>3.7313432835820892E-2</v>
      </c>
      <c r="D18" s="515">
        <f>IF(ISNUMBER(
   IF(D_I="SI",(Datos!K18-Datos!U18)/Datos!U18,(Datos!K18+Datos!AE18-(Datos!U18+Datos!AM18))/(Datos!U18+Datos!AM18))
     ),IF(D_I="SI",(Datos!K18-Datos!U18)/Datos!U18,(Datos!K18+Datos!AE18-(Datos!U18+Datos!AM18))/(Datos!U18+Datos!AM18))," - ")</f>
        <v>-4.1095890410958902E-2</v>
      </c>
      <c r="E18" s="515">
        <f>IF(ISNUMBER(
   IF(D_I="SI",(Datos!L18-Datos!V18)/Datos!V18,(Datos!L18+Datos!AF18-(Datos!V18+Datos!AN18))/(Datos!V18+Datos!AN18))
     ),IF(D_I="SI",(Datos!L18-Datos!V18)/Datos!V18,(Datos!L18+Datos!AF18-(Datos!V18+Datos!AN18))/(Datos!V18+Datos!AN18))," - ")</f>
        <v>-3.2258064516129031E-2</v>
      </c>
      <c r="F18" s="515">
        <f>IF(ISNUMBER((Datos!M18-Datos!W18)/Datos!W18),(Datos!M18-Datos!W18)/Datos!W18," - ")</f>
        <v>-0.17647058823529413</v>
      </c>
      <c r="G18" s="516">
        <f>IF(ISNUMBER((Datos!N18-Datos!X18)/Datos!X18),(Datos!N18-Datos!X18)/Datos!X18," - ")</f>
        <v>-0.26829268292682928</v>
      </c>
      <c r="H18" s="514">
        <f>IF(ISNUMBER(((NºAsuntos!G18/NºAsuntos!E18)-Datos!BD18)/Datos!BD18),((NºAsuntos!G18/NºAsuntos!E18)-Datos!BD18)/Datos!BD18," - ")</f>
        <v>-7.5588843993298585E-2</v>
      </c>
      <c r="I18" s="515">
        <f>IF(ISNUMBER(((NºAsuntos!I18/NºAsuntos!G18)-Datos!BE18)/Datos!BE18),((NºAsuntos!I18/NºAsuntos!G18)-Datos!BE18)/Datos!BE18," - ")</f>
        <v>9.2165898617511521E-3</v>
      </c>
      <c r="J18" s="521">
        <f>IF(ISNUMBER((('Resol  Asuntos'!D18/NºAsuntos!G18)-Datos!BF18)/Datos!BF18),(('Resol  Asuntos'!D18/NºAsuntos!G18)-Datos!BF18)/Datos!BF18," - ")</f>
        <v>-0.14117647058823521</v>
      </c>
      <c r="K18" s="522">
        <f>IF(ISNUMBER((((NºAsuntos!C18+NºAsuntos!E18)/NºAsuntos!G18)-Datos!BG18)/Datos!BG18),(((NºAsuntos!C18+NºAsuntos!E18)/NºAsuntos!G18)-Datos!BG18)/Datos!BG18," - ")</f>
        <v>-4.6850998463901755E-2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1.1589403973509934E-2</v>
      </c>
      <c r="C23" s="1152">
        <f>IF(ISNUMBER(
   IF(Criterios!B14="SI",(Datos!J23-Datos!T23)/Datos!T23,(Datos!J23+Datos!AD23-(Datos!T23+Datos!AL23))/(Datos!T23+Datos!AL23))
     ),IF(Criterios!B14="SI",(Datos!J23-Datos!T23)/Datos!T23,(Datos!J23+Datos!AD23-(Datos!T23+Datos!AL23))/(Datos!T23+Datos!AL23))," - ")</f>
        <v>0.2081678956324447</v>
      </c>
      <c r="D23" s="1152">
        <f>IF(ISNUMBER(
   IF(Criterios!B14="SI",(Datos!K23-Datos!U23)/Datos!U23,(Datos!K23+Datos!AE23-(Datos!U23+Datos!AM23))/(Datos!U23+Datos!AM23))
     ),IF(Criterios!B14="SI",(Datos!K23-Datos!U23)/Datos!U23,(Datos!K23+Datos!AE23-(Datos!U23+Datos!AM23))/(Datos!U23+Datos!AM23))," - ")</f>
        <v>0.20034246575342465</v>
      </c>
      <c r="E23" s="1152">
        <f>IF(ISNUMBER(
   IF(Criterios!B14="SI",(Datos!L23-Datos!V23)/Datos!V23,(Datos!L23+Datos!AF23-(Datos!V23+Datos!AN23))/(Datos!V23+Datos!AN23))
     ),IF(Criterios!B14="SI",(Datos!L23-Datos!V23)/Datos!V23,(Datos!L23+Datos!AF23-(Datos!V23+Datos!AN23))/(Datos!V23+Datos!AN23))," - ")</f>
        <v>-0.10147299509001637</v>
      </c>
      <c r="F23" s="1153">
        <f>IF(ISNUMBER((Datos!M23-Datos!W23)/Datos!W23),(Datos!M23-Datos!W23)/Datos!W23," - ")</f>
        <v>-0.11469534050179211</v>
      </c>
      <c r="G23" s="1154">
        <f>IF(ISNUMBER((Datos!N23-Datos!X23)/Datos!X23),(Datos!N23-Datos!X23)/Datos!X23," - ")</f>
        <v>0.17995910020449898</v>
      </c>
      <c r="H23" s="1154">
        <f>IF(ISNUMBER(((NºAsuntos!G23/NºAsuntos!E23)-Datos!BD23)/Datos!BD23),((NºAsuntos!G23/NºAsuntos!E23)-Datos!BD23)/Datos!BD23," - ")</f>
        <v>-6.4771046369541249E-3</v>
      </c>
      <c r="I23" s="1154">
        <f>IF(ISNUMBER(((NºAsuntos!I23/NºAsuntos!G23)-Datos!BE23)/Datos!BE23),((NºAsuntos!I23/NºAsuntos!G23)-Datos!BE23)/Datos!BE23," - ")</f>
        <v>-0.25144112572406502</v>
      </c>
      <c r="J23" s="1154">
        <f>IF(ISNUMBER((('Resol  Asuntos'!D23/NºAsuntos!G23)-Datos!BF23)/Datos!BF23),(('Resol  Asuntos'!D23/NºAsuntos!G23)-Datos!BF23)/Datos!BF23," - ")</f>
        <v>-0.26245660321404646</v>
      </c>
      <c r="K23" s="1154">
        <f>IF(ISNUMBER((((NºAsuntos!C23+NºAsuntos!E23)/NºAsuntos!G23)-Datos!BG23)/Datos!BG23),(((NºAsuntos!C23+NºAsuntos!E23)/NºAsuntos!G23)-Datos!BG23)/Datos!BG23," - ")</f>
        <v>-3.5270393493030294E-2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1.4579191517561299E-2</v>
      </c>
      <c r="C31" s="1092">
        <f>IF(ISNUMBER(
   IF(J_V="SI",(Datos!J31-Datos!T31)/Datos!T31,(Datos!J31+Datos!Z31-(Datos!T31+Datos!AH31))/(Datos!T31+Datos!AH31))
     ),IF(J_V="SI",(Datos!J31-Datos!T31)/Datos!T31,(Datos!J31+Datos!Z31-(Datos!T31+Datos!AH31))/(Datos!T31+Datos!AH31))," - ")</f>
        <v>0.16042935886277923</v>
      </c>
      <c r="D31" s="1092">
        <f>IF(ISNUMBER(
   IF(J_V="SI",(Datos!K31-Datos!U31)/Datos!U31,(Datos!K31+Datos!AA31-(Datos!U31+Datos!AI31))/(Datos!U31+Datos!AI31))
     ),IF(J_V="SI",(Datos!K31-Datos!U31)/Datos!U31,(Datos!K31+Datos!AA31-(Datos!U31+Datos!AI31))/(Datos!U31+Datos!AI31))," - ")</f>
        <v>0.15606242496998798</v>
      </c>
      <c r="E31" s="1092">
        <f>IF(ISNUMBER(
   IF(J_V="SI",(Datos!L31-Datos!V31)/Datos!V31,(Datos!L31+Datos!AB31-(Datos!V31+Datos!AJ31))/(Datos!V31+Datos!AJ31))
     ),IF(J_V="SI",(Datos!L31-Datos!V31)/Datos!V31,(Datos!L31+Datos!AB31-(Datos!V31+Datos!AJ31))/(Datos!V31+Datos!AJ31))," - ")</f>
        <v>-3.1352057478772045E-2</v>
      </c>
      <c r="F31" s="1093">
        <f>IF(ISNUMBER((Datos!M31-Datos!W31)/Datos!W31),(Datos!M31-Datos!W31)/Datos!W31," - ")</f>
        <v>-9.7152428810720268E-2</v>
      </c>
      <c r="G31" s="1094">
        <f>IF(ISNUMBER((Datos!N31-Datos!X31)/Datos!X31),(Datos!N31-Datos!X31)/Datos!X31," - ")</f>
        <v>0.16063977746870653</v>
      </c>
      <c r="H31" s="1095">
        <f>IF(ISNUMBER((Tasas!B31-Datos!BD31)/Datos!BD31),(Tasas!B31-Datos!BD31)/Datos!BD31," - ")</f>
        <v>-3.7632052821129107E-3</v>
      </c>
      <c r="I31" s="1096">
        <f>IF(ISNUMBER((Tasas!C31-Datos!BE31)/Datos!BE31),(Tasas!C31-Datos!BE31)/Datos!BE31," - ")</f>
        <v>-0.16211450039441036</v>
      </c>
      <c r="J31" s="1097">
        <f>IF(ISNUMBER((Tasas!D31-Datos!BF31)/Datos!BF31),(Tasas!D31-Datos!BF31)/Datos!BF31," - ")</f>
        <v>-0.37585301399436444</v>
      </c>
      <c r="K31" s="1097">
        <f>IF(ISNUMBER((Tasas!E31-Datos!BG31)/Datos!BG31),(Tasas!E31-Datos!BG31)/Datos!BG31," - ")</f>
        <v>-3.4636053763251601E-2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hR8i87q6TmvWxWQgb4GWhHqDnfJxN5Q0bXF094bg/ulYlFjUcP7UwCCrMZszMljyB/CK6u1xwKrKOdTrnD6PQ==" saltValue="fpnCZguOadt/E96ViPK7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VILLANUEVA DE LA SERENA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1.4285714285714286</v>
      </c>
      <c r="C10" s="498">
        <f>IF(ISNUMBER(NºAsuntos!I10/NºAsuntos!G10),NºAsuntos!I10/NºAsuntos!G10," - ")</f>
        <v>0.3</v>
      </c>
      <c r="D10" s="499">
        <f>IF(ISNUMBER('Resol  Asuntos'!D10/NºAsuntos!G10),'Resol  Asuntos'!D10/NºAsuntos!G10," - ")</f>
        <v>0.7</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0.93344068706387551</v>
      </c>
      <c r="C12" s="498">
        <f>IF(ISNUMBER(NºAsuntos!I12/NºAsuntos!G12),NºAsuntos!I12/NºAsuntos!G12," - ")</f>
        <v>0.53536515238642901</v>
      </c>
      <c r="D12" s="499">
        <f>IF(ISNUMBER('Resol  Asuntos'!D12/NºAsuntos!G12),'Resol  Asuntos'!D12/NºAsuntos!G12," - ")</f>
        <v>0.16388729154686602</v>
      </c>
      <c r="E12" s="500">
        <f>IF(ISNUMBER((NºAsuntos!C12+NºAsuntos!E12)/NºAsuntos!G12),(NºAsuntos!C12+NºAsuntos!E12)/NºAsuntos!G12," - ")</f>
        <v>1.5968947671075331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0.93529411764705883</v>
      </c>
      <c r="C14" s="1156">
        <f>IF(ISNUMBER(NºAsuntos!I14/NºAsuntos!G14),NºAsuntos!I14/NºAsuntos!G14," - ")</f>
        <v>0.53401943967981702</v>
      </c>
      <c r="D14" s="1157">
        <f>IF(ISNUMBER('Resol  Asuntos'!D14/NºAsuntos!G14),'Resol  Asuntos'!D14/NºAsuntos!G14," - ")</f>
        <v>0.16695254431103487</v>
      </c>
      <c r="E14" s="1158">
        <f>IF(ISNUMBER((NºAsuntos!C14+NºAsuntos!E14)/NºAsuntos!G14),(NºAsuntos!C14+NºAsuntos!E14)/NºAsuntos!G14," - ")</f>
        <v>1.5951972555746141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0.98593671521848314</v>
      </c>
      <c r="C17" s="498">
        <f>IF(ISNUMBER(NºAsuntos!I17/NºAsuntos!G17),NºAsuntos!I17/NºAsuntos!G17," - ")</f>
        <v>0.26439123790117169</v>
      </c>
      <c r="D17" s="499">
        <f>IF(ISNUMBER('Resol  Asuntos'!D17/NºAsuntos!G17),'Resol  Asuntos'!D17/NºAsuntos!G17," - ")</f>
        <v>0.11869587366276108</v>
      </c>
      <c r="E17" s="500">
        <f>IF(ISNUMBER((NºAsuntos!C17+NºAsuntos!E17)/NºAsuntos!G17),(NºAsuntos!C17+NºAsuntos!E17)/NºAsuntos!G17," - ")</f>
        <v>1.3097300050942435</v>
      </c>
      <c r="G17" s="523"/>
    </row>
    <row r="18" spans="1:7">
      <c r="A18" s="450" t="str">
        <f>Datos!A18</f>
        <v>Jdos. Violencia contra la mujer</v>
      </c>
      <c r="B18" s="497">
        <f>IF(ISNUMBER(NºAsuntos!G18/NºAsuntos!E18),NºAsuntos!G18/NºAsuntos!E18," - ")</f>
        <v>1.0071942446043165</v>
      </c>
      <c r="C18" s="498">
        <f>IF(ISNUMBER(NºAsuntos!I18/NºAsuntos!G18),NºAsuntos!I18/NºAsuntos!G18," - ")</f>
        <v>0.21428571428571427</v>
      </c>
      <c r="D18" s="499">
        <f>IF(ISNUMBER('Resol  Asuntos'!D18/NºAsuntos!G18),'Resol  Asuntos'!D18/NºAsuntos!G18," - ")</f>
        <v>0.1</v>
      </c>
      <c r="E18" s="500">
        <f>IF(ISNUMBER((NºAsuntos!C18+NºAsuntos!E18)/NºAsuntos!G18),(NºAsuntos!C18+NºAsuntos!E18)/NºAsuntos!G18," - ")</f>
        <v>1.2142857142857142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0.98732394366197185</v>
      </c>
      <c r="C23" s="1156">
        <f>IF(ISNUMBER(NºAsuntos!I23/NºAsuntos!G23),NºAsuntos!I23/NºAsuntos!G23," - ")</f>
        <v>0.26105563480741795</v>
      </c>
      <c r="D23" s="1159">
        <f>IF(ISNUMBER('Resol  Asuntos'!D23/NºAsuntos!G23),'Resol  Asuntos'!D23/NºAsuntos!G23," - ")</f>
        <v>0.11745126010461246</v>
      </c>
      <c r="E23" s="1158">
        <f>IF(ISNUMBER((NºAsuntos!C23+NºAsuntos!E23)/NºAsuntos!G23),(NºAsuntos!C23+NºAsuntos!E23)/NºAsuntos!G23," - ")</f>
        <v>1.3033761293390396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0.96299999999999997</v>
      </c>
      <c r="C31" s="1099">
        <f>IF(ISNUMBER(NºAsuntos!I31/NºAsuntos!G31),NºAsuntos!I31/NºAsuntos!G31," - ")</f>
        <v>0.38499480789200413</v>
      </c>
      <c r="D31" s="1100">
        <f>IF(ISNUMBER('Resol  Asuntos'!D31/NºAsuntos!G31),'Resol  Asuntos'!D31/NºAsuntos!G31," - ")</f>
        <v>0.13992731048805815</v>
      </c>
      <c r="E31" s="1101">
        <f>IF(ISNUMBER((NºAsuntos!C31+NºAsuntos!E31)/NºAsuntos!G31),(NºAsuntos!C31+NºAsuntos!E31)/NºAsuntos!G31," - ")</f>
        <v>1.4358774662512981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qaPpBCGbWfXrfC1A+01tZp4GMMDES/lfFuUckiZNwAPPMx+sbkBk7vDqDoZCe3F1KHFV9+IZnlEluK2aCcjhg==" saltValue="G3KfaBQV3ZdgCQHX1tPP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VILLANUEVA DE LA SERENA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3</v>
      </c>
      <c r="AB10" s="374">
        <f>IF(ISNUMBER(Datos!R10),Datos!R10," - ")</f>
        <v>18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1.4285714285714286</v>
      </c>
      <c r="AM10" s="284">
        <f>IF(ISNUMBER(((NºAsuntos!I10/NºAsuntos!G10)*11)/factor_trimestre),((NºAsuntos!I10/NºAsuntos!G10)*11)/factor_trimestre," - ")</f>
        <v>3.3</v>
      </c>
      <c r="AN10" s="267">
        <f>IF(ISNUMBER('Resol  Asuntos'!D10/NºAsuntos!G10),'Resol  Asuntos'!D10/NºAsuntos!G10," - ")</f>
        <v>0.7</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425</v>
      </c>
      <c r="Y12" s="374">
        <f t="shared" si="0"/>
        <v>425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285</v>
      </c>
      <c r="AJ12" s="243" t="str">
        <f>IF(ISNUMBER(Datos!BW12),Datos!BW12," - ")</f>
        <v xml:space="preserve"> - </v>
      </c>
      <c r="AK12" s="242" t="str">
        <f>IF(ISNUMBER(Datos!BX12),Datos!BX12," - ")</f>
        <v xml:space="preserve"> - </v>
      </c>
      <c r="AL12" s="266">
        <f>IF(ISNUMBER(NºAsuntos!G12/NºAsuntos!E12),NºAsuntos!G12/NºAsuntos!E12," - ")</f>
        <v>0.93344068706387551</v>
      </c>
      <c r="AM12" s="284">
        <f>IF(ISNUMBER(((NºAsuntos!I12/NºAsuntos!G12)*11)/factor_trimestre),((NºAsuntos!I12/NºAsuntos!G12)*11)/factor_trimestre," - ")</f>
        <v>5.8890166762507192</v>
      </c>
      <c r="AN12" s="267">
        <f>IF(ISNUMBER('Resol  Asuntos'!D12/NºAsuntos!G12),'Resol  Asuntos'!D12/NºAsuntos!G12," - ")</f>
        <v>0.16388729154686602</v>
      </c>
      <c r="AO12" s="268">
        <f>IF(ISNUMBER((NºAsuntos!C12+NºAsuntos!E12)/NºAsuntos!G12),(NºAsuntos!C12+NºAsuntos!E12)/NºAsuntos!G12," - ")</f>
        <v>1.5968947671075331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582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425</v>
      </c>
      <c r="Y14" s="1165">
        <f t="shared" si="6"/>
        <v>435</v>
      </c>
      <c r="Z14" s="1165">
        <f t="shared" si="6"/>
        <v>0</v>
      </c>
      <c r="AA14" s="1165">
        <f t="shared" si="6"/>
        <v>3</v>
      </c>
      <c r="AB14" s="1165">
        <f t="shared" si="6"/>
        <v>2162</v>
      </c>
      <c r="AC14" s="1165">
        <f t="shared" si="6"/>
        <v>21</v>
      </c>
      <c r="AD14" s="1165">
        <f t="shared" si="6"/>
        <v>0</v>
      </c>
      <c r="AE14" s="1169">
        <f t="shared" si="6"/>
        <v>0</v>
      </c>
      <c r="AF14" s="1162">
        <f t="shared" si="6"/>
        <v>0</v>
      </c>
      <c r="AG14" s="1170">
        <f t="shared" si="6"/>
        <v>0</v>
      </c>
      <c r="AH14" s="1167">
        <f t="shared" si="6"/>
        <v>0</v>
      </c>
      <c r="AI14" s="1162">
        <f t="shared" si="6"/>
        <v>292</v>
      </c>
      <c r="AJ14" s="1164">
        <f t="shared" si="6"/>
        <v>0</v>
      </c>
      <c r="AK14" s="1167">
        <f>SUBTOTAL(9,AK9:AK13)</f>
        <v>0</v>
      </c>
      <c r="AL14" s="1171">
        <f>IF(ISNUMBER(NºAsuntos!G14/NºAsuntos!E14),NºAsuntos!G14/NºAsuntos!E14," - ")</f>
        <v>0.93529411764705883</v>
      </c>
      <c r="AM14" s="1171">
        <f>IF(ISNUMBER(((NºAsuntos!I14/NºAsuntos!G14)*11)/factor_trimestre),((NºAsuntos!I14/NºAsuntos!G14)*11)/factor_trimestre," - ")</f>
        <v>5.8742138364779874</v>
      </c>
      <c r="AN14" s="1172">
        <f>IF(ISNUMBER('Resol  Asuntos'!D14/NºAsuntos!G14),'Resol  Asuntos'!D14/NºAsuntos!G14," - ")</f>
        <v>0.16695254431103487</v>
      </c>
      <c r="AO14" s="1173">
        <f>IF(ISNUMBER((NºAsuntos!C14+NºAsuntos!E14)/NºAsuntos!G14),(NºAsuntos!C14+NºAsuntos!E14)/NºAsuntos!G14," - ")</f>
        <v>1.5951972555746141</v>
      </c>
      <c r="AP14" s="1174" t="str">
        <f t="shared" si="2"/>
        <v xml:space="preserve"> - </v>
      </c>
      <c r="AQ14" s="1174">
        <f>IF(ISNUMBER((H14-W14+K14)/(F14)),(H14-W14+K14)/(F14)," - ")</f>
        <v>-1.6666666666666667</v>
      </c>
      <c r="AR14" s="1175">
        <f>IF(ISNUMBER((Datos!P14-Datos!Q14)/(Datos!R14-Datos!P14+Datos!Q14)),(Datos!P14-Datos!Q14)/(Datos!R14-Datos!P14+Datos!Q14)," - ")</f>
        <v>7.8304239401496264E-2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491</v>
      </c>
      <c r="G17" s="373">
        <f>IF(ISNUMBER(IF(D_I="SI",Datos!I17,Datos!I17+Datos!AC17)),IF(D_I="SI",Datos!I17,Datos!I17+Datos!AC17)," - ")</f>
        <v>580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1963</v>
      </c>
      <c r="X17" s="240">
        <f>IF(ISNUMBER(Datos!Q17),Datos!Q17," - ")</f>
        <v>82</v>
      </c>
      <c r="Y17" s="374">
        <f t="shared" ref="Y17:Y22" si="9">SUM(W17:X17)</f>
        <v>2045</v>
      </c>
      <c r="Z17" s="375" t="str">
        <f>IF(ISNUMBER(Datos!CC17),Datos!CC17," - ")</f>
        <v xml:space="preserve"> - </v>
      </c>
      <c r="AA17" s="372">
        <f>IF(ISNUMBER(IF(D_I="SI",Datos!L17,Datos!L17+Datos!AF17)),IF(D_I="SI",Datos!L17,Datos!L17+Datos!AF17)," - ")</f>
        <v>519</v>
      </c>
      <c r="AB17" s="374">
        <f>IF(ISNUMBER(Datos!R17),Datos!R17," - ")</f>
        <v>84</v>
      </c>
      <c r="AC17" s="374">
        <f t="shared" si="8"/>
        <v>603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233</v>
      </c>
      <c r="AJ17" s="245" t="str">
        <f>IF(ISNUMBER(Datos!BW17),Datos!BW17," - ")</f>
        <v xml:space="preserve"> - </v>
      </c>
      <c r="AK17" s="246" t="str">
        <f>IF(ISNUMBER(Datos!BX17),Datos!BX17," - ")</f>
        <v xml:space="preserve"> - </v>
      </c>
      <c r="AL17" s="266">
        <f>IF(ISNUMBER(NºAsuntos!G17/NºAsuntos!E17),NºAsuntos!G17/NºAsuntos!E17," - ")</f>
        <v>0.98593671521848314</v>
      </c>
      <c r="AM17" s="284">
        <f>IF(ISNUMBER(((NºAsuntos!I17/NºAsuntos!G17)*11)/factor_trimestre),((NºAsuntos!I17/NºAsuntos!G17)*11)/factor_trimestre," - ")</f>
        <v>2.9083036169128889</v>
      </c>
      <c r="AN17" s="267">
        <f>IF(ISNUMBER('Resol  Asuntos'!D17/NºAsuntos!G17),'Resol  Asuntos'!D17/NºAsuntos!G17," - ")</f>
        <v>0.11869587366276108</v>
      </c>
      <c r="AO17" s="268">
        <f>IF(ISNUMBER((NºAsuntos!C17+NºAsuntos!E17)/NºAsuntos!G17),(NºAsuntos!C17+NºAsuntos!E17)/NºAsuntos!G17," - ")</f>
        <v>1.3097300050942435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140</v>
      </c>
      <c r="X18" s="240">
        <f>IF(ISNUMBER(Datos!Q18),Datos!Q18," - ")</f>
        <v>2</v>
      </c>
      <c r="Y18" s="374">
        <f t="shared" si="9"/>
        <v>142</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1.0071942446043165</v>
      </c>
      <c r="AM18" s="284">
        <f>IF(ISNUMBER(((NºAsuntos!I18/NºAsuntos!G18)*11)/factor_trimestre),((NºAsuntos!I18/NºAsuntos!G18)*11)/factor_trimestre," - ")</f>
        <v>2.3571428571428572</v>
      </c>
      <c r="AN18" s="267">
        <f>IF(ISNUMBER('Resol  Asuntos'!D18/NºAsuntos!G18),'Resol  Asuntos'!D18/NºAsuntos!G18," - ")</f>
        <v>0.1</v>
      </c>
      <c r="AO18" s="268">
        <f>IF(ISNUMBER((NºAsuntos!C18+NºAsuntos!E18)/NºAsuntos!G18),(NºAsuntos!C18+NºAsuntos!E18)/NºAsuntos!G18," - ")</f>
        <v>1.2142857142857142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491</v>
      </c>
      <c r="G23" s="1163">
        <f>SUBTOTAL(9,G16:G22)</f>
        <v>611</v>
      </c>
      <c r="H23" s="1162">
        <f t="shared" ref="H23:O23" si="13">SUBTOTAL(9,H15:H22)</f>
        <v>0</v>
      </c>
      <c r="I23" s="1164">
        <f t="shared" si="13"/>
        <v>0</v>
      </c>
      <c r="J23" s="1164">
        <f t="shared" si="13"/>
        <v>0</v>
      </c>
      <c r="K23" s="1164">
        <f t="shared" si="13"/>
        <v>0</v>
      </c>
      <c r="L23" s="1164">
        <f t="shared" si="13"/>
        <v>78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2103</v>
      </c>
      <c r="X23" s="1164">
        <f t="shared" si="14"/>
        <v>84</v>
      </c>
      <c r="Y23" s="1165">
        <f t="shared" si="14"/>
        <v>2187</v>
      </c>
      <c r="Z23" s="1165">
        <f t="shared" si="14"/>
        <v>0</v>
      </c>
      <c r="AA23" s="1165">
        <f t="shared" si="14"/>
        <v>549</v>
      </c>
      <c r="AB23" s="1165">
        <f t="shared" si="14"/>
        <v>84</v>
      </c>
      <c r="AC23" s="1165">
        <f t="shared" si="14"/>
        <v>633</v>
      </c>
      <c r="AD23" s="1165">
        <f t="shared" si="14"/>
        <v>0</v>
      </c>
      <c r="AE23" s="1169">
        <f t="shared" si="14"/>
        <v>0</v>
      </c>
      <c r="AF23" s="1162">
        <f t="shared" si="14"/>
        <v>0</v>
      </c>
      <c r="AG23" s="1170">
        <f t="shared" si="14"/>
        <v>0</v>
      </c>
      <c r="AH23" s="1167">
        <f t="shared" si="14"/>
        <v>0</v>
      </c>
      <c r="AI23" s="1162">
        <f t="shared" si="14"/>
        <v>247</v>
      </c>
      <c r="AJ23" s="1164">
        <f t="shared" si="14"/>
        <v>0</v>
      </c>
      <c r="AK23" s="1167">
        <f t="shared" si="14"/>
        <v>0</v>
      </c>
      <c r="AL23" s="1171">
        <f>IF(ISNUMBER(NºAsuntos!G23/NºAsuntos!E23),NºAsuntos!G23/NºAsuntos!E23," - ")</f>
        <v>0.98732394366197185</v>
      </c>
      <c r="AM23" s="1171">
        <f>IF(ISNUMBER(((NºAsuntos!I23/NºAsuntos!G23)*11)/factor_trimestre),((NºAsuntos!I23/NºAsuntos!G23)*11)/factor_trimestre," - ")</f>
        <v>2.8716119828815976</v>
      </c>
      <c r="AN23" s="1172">
        <f>IF(ISNUMBER('Resol  Asuntos'!D23/NºAsuntos!G23),'Resol  Asuntos'!D23/NºAsuntos!G23," - ")</f>
        <v>0.11745126010461246</v>
      </c>
      <c r="AO23" s="1173">
        <f>IF(ISNUMBER((NºAsuntos!C23+NºAsuntos!E23)/NºAsuntos!G23),(NºAsuntos!C23+NºAsuntos!E23)/NºAsuntos!G23," - ")</f>
        <v>1.3033761293390396</v>
      </c>
      <c r="AP23" s="1174" t="str">
        <f t="shared" si="2"/>
        <v xml:space="preserve"> - </v>
      </c>
      <c r="AQ23" s="1174">
        <f>IF(ISNUMBER((H23-W23+K23)/(F23)),(H23-W23+K23)/(F23)," - ")</f>
        <v>-4.2830957230142568</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497</v>
      </c>
      <c r="G31" s="1118">
        <f t="shared" si="20"/>
        <v>617</v>
      </c>
      <c r="H31" s="1117">
        <f t="shared" si="20"/>
        <v>0</v>
      </c>
      <c r="I31" s="1119">
        <f t="shared" si="20"/>
        <v>0</v>
      </c>
      <c r="J31" s="1119">
        <f t="shared" si="20"/>
        <v>0</v>
      </c>
      <c r="K31" s="1180">
        <f t="shared" si="20"/>
        <v>0</v>
      </c>
      <c r="L31" s="1119">
        <f t="shared" si="20"/>
        <v>660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2113</v>
      </c>
      <c r="X31" s="1118">
        <f t="shared" si="21"/>
        <v>509</v>
      </c>
      <c r="Y31" s="1125">
        <f t="shared" si="21"/>
        <v>2622</v>
      </c>
      <c r="Z31" s="1125">
        <f t="shared" si="21"/>
        <v>0</v>
      </c>
      <c r="AA31" s="1125">
        <f t="shared" si="21"/>
        <v>552</v>
      </c>
      <c r="AB31" s="1125">
        <f t="shared" si="21"/>
        <v>2246</v>
      </c>
      <c r="AC31" s="1125">
        <f t="shared" si="21"/>
        <v>654</v>
      </c>
      <c r="AD31" s="1125">
        <f t="shared" si="21"/>
        <v>0</v>
      </c>
      <c r="AE31" s="1127">
        <f t="shared" si="21"/>
        <v>0</v>
      </c>
      <c r="AF31" s="1128">
        <f t="shared" si="21"/>
        <v>0</v>
      </c>
      <c r="AG31" s="1129">
        <f t="shared" si="21"/>
        <v>0</v>
      </c>
      <c r="AH31" s="1127">
        <f t="shared" si="21"/>
        <v>0</v>
      </c>
      <c r="AI31" s="1117">
        <f t="shared" si="21"/>
        <v>539</v>
      </c>
      <c r="AJ31" s="1117">
        <f t="shared" si="21"/>
        <v>0</v>
      </c>
      <c r="AK31" s="1127">
        <f t="shared" si="21"/>
        <v>0</v>
      </c>
      <c r="AL31" s="1183">
        <f>IF(ISNUMBER(NºAsuntos!G31/NºAsuntos!E31),NºAsuntos!G31/NºAsuntos!E31," - ")</f>
        <v>0.96299999999999997</v>
      </c>
      <c r="AM31" s="1184">
        <f>IF(ISNUMBER(((NºAsuntos!I31/NºAsuntos!G31)*11)/factor_trimestre),((NºAsuntos!I31/NºAsuntos!G31)*11)/factor_trimestre," - ")</f>
        <v>4.2349428868120453</v>
      </c>
      <c r="AN31" s="1184">
        <f>IF(ISNUMBER('Resol  Asuntos'!D31/NºAsuntos!G31),'Resol  Asuntos'!D31/NºAsuntos!G31," - ")</f>
        <v>0.13992731048805815</v>
      </c>
      <c r="AO31" s="1185">
        <f>IF(ISNUMBER((NºAsuntos!C31+NºAsuntos!E31)/NºAsuntos!G31),(NºAsuntos!C31+NºAsuntos!E31)/NºAsuntos!G31," - ")</f>
        <v>1.4358774662512981</v>
      </c>
      <c r="AP31" s="1186" t="str">
        <f t="shared" si="2"/>
        <v xml:space="preserve"> - </v>
      </c>
      <c r="AQ31" s="1187">
        <f>IF(OR(ISNUMBER(FIND("01",Criterios!A8,1)),ISNUMBER(FIND("02",Criterios!A8,1)),ISNUMBER(FIND("03",Criterios!A8,1)),ISNUMBER(FIND("04",Criterios!A8,1))),(I31-W31+K31)/(F31-K31),(H31-W31+K31)/(F31-K31))</f>
        <v>-4.2515090543259557</v>
      </c>
      <c r="AR31" s="1188">
        <f>IF(ISNUMBER((Datos!P31-Datos!Q31)/(Datos!R31-Datos!P31+Datos!Q31)),(Datos!P31-Datos!Q31)/(Datos!R31-Datos!P31+Datos!Q31)," - ")</f>
        <v>7.2076372315035803E-2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252.01640158264834</v>
      </c>
      <c r="G33" s="277">
        <f>IF(ISNUMBER(STDEV(G8:G30)),STDEV(G8:G30),"-")</f>
        <v>286.71048945217325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978.47512560543487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139.78120658473983</v>
      </c>
      <c r="AJ33" s="276">
        <f t="shared" si="25"/>
        <v>0</v>
      </c>
      <c r="AK33" s="278">
        <f t="shared" si="25"/>
        <v>0</v>
      </c>
      <c r="AL33" s="273">
        <f t="shared" si="25"/>
        <v>0.18965344012674906</v>
      </c>
      <c r="AM33" s="274">
        <f t="shared" si="25"/>
        <v>1.5892458581258704</v>
      </c>
      <c r="AN33" s="274">
        <f t="shared" si="25"/>
        <v>0.23288343698926917</v>
      </c>
      <c r="AO33" s="275">
        <f t="shared" si="25"/>
        <v>0.16599017060311677</v>
      </c>
      <c r="AP33" s="317" t="str">
        <f t="shared" si="25"/>
        <v>-</v>
      </c>
      <c r="AQ33" s="318">
        <f t="shared" si="25"/>
        <v>1.8500947282369009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g8hhTEyFMJ02DG0ChsFJsec/o5/SHU1s6IdyT89ZcAW5/YjHZAKLRgHR6/ZTnwdnrX9Eab8Ee9nZb27tsDUqQ==" saltValue="cfGZIZY7SGGK15c4o/nY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VILLANUEVA DE LA SERENA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-0.5</v>
      </c>
      <c r="F10" s="393">
        <f>IF(ISNUMBER((Datos!K10-Datos!U10)/Datos!U10),(Datos!K10-Datos!U10)/Datos!U10," - ")</f>
        <v>-0.33333333333333331</v>
      </c>
      <c r="G10" s="394">
        <f>IF(ISNUMBER((Datos!L10-Datos!V10)/Datos!V10),(Datos!L10-Datos!V10)/Datos!V10," - ")</f>
        <v>-0.5</v>
      </c>
      <c r="H10" s="244">
        <f>IF(ISNUMBER((Datos!M10-Datos!W10)/Datos!W10),(Datos!M10-Datos!W10)/Datos!W10," - ")</f>
        <v>-0.3</v>
      </c>
      <c r="I10" s="395">
        <f>IF(ISNUMBER((Tasas!C10-Datos!BE10)/Datos!BE10),(Tasas!C10-Datos!BE10)/Datos!BE10," - ")</f>
        <v>-0.25000000000000006</v>
      </c>
      <c r="J10" s="394">
        <f>IF(ISNUMBER((Tasas!D10-Datos!BF10)/Datos!BF10),(Tasas!D10-Datos!BF10)/Datos!BF10," - ")</f>
        <v>4.9999999999999989E-2</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-7.4675324675324672E-2</v>
      </c>
      <c r="I12" s="395">
        <f>IF(ISNUMBER((Tasas!C12-Datos!BE12)/Datos!BE12),(Tasas!C12-Datos!BE12)/Datos!BE12," - ")</f>
        <v>-8.3318967740961258E-2</v>
      </c>
      <c r="J12" s="394">
        <f>IF(ISNUMBER((Tasas!D12-Datos!BF12)/Datos!BF12),(Tasas!D12-Datos!BF12)/Datos!BF12," - ")</f>
        <v>-0.4399921151291587</v>
      </c>
      <c r="K12" s="396">
        <f>IF(ISNUMBER((Tasas!E12-Datos!BG12)/Datos!BG12),(Tasas!E12-Datos!BG12)/Datos!BG12," - ")</f>
        <v>-2.4915992772809478E-2</v>
      </c>
      <c r="M12" t="e">
        <f>IF(Monitorios="SI",Datos!CE12,0)</f>
        <v>#REF!</v>
      </c>
      <c r="N12" t="e">
        <f>IF(Monitorios="SI",Datos!CF12,0)</f>
        <v>#REF!</v>
      </c>
      <c r="O12" t="e">
        <f>IF(Monitorios="SI",Datos!CG12,0)</f>
        <v>#REF!</v>
      </c>
      <c r="P12" t="e">
        <f>IF(Monitorios="SI",Datos!CH12,0)</f>
        <v>#REF!</v>
      </c>
      <c r="Q12">
        <f>IF(J_V="SI",0,Datos!AG12)</f>
        <v>26</v>
      </c>
      <c r="R12">
        <f>IF(J_V="SI",0,Datos!AH12)</f>
        <v>134</v>
      </c>
      <c r="S12">
        <f>IF(J_V="SI",0,Datos!AI12)</f>
        <v>128</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-8.1761006289308172E-2</v>
      </c>
      <c r="I14" s="402">
        <f>IF(ISNUMBER((Tasas!C14-Datos!BE14)/Datos!BE14),(Tasas!C14-Datos!BE14)/Datos!BE14," - ")</f>
        <v>-8.2879657941183807E-2</v>
      </c>
      <c r="J14" s="400">
        <f>IF(ISNUMBER((Tasas!D14-Datos!BF14)/Datos!BF14),(Tasas!D14-Datos!BF14)/Datos!BF14," - ")</f>
        <v>-0.43635679484736095</v>
      </c>
      <c r="K14" s="403">
        <f>IF(ISNUMBER((Tasas!E14-Datos!BG14)/Datos!BG14),(Tasas!E14-Datos!BG14)/Datos!BG14," - ")</f>
        <v>-2.6492211738937739E-2</v>
      </c>
      <c r="M14" t="e">
        <f>IF(Monitorios="SI",Datos!CE14,0)</f>
        <v>#REF!</v>
      </c>
      <c r="N14" t="e">
        <f>IF(Monitorios="SI",Datos!CF14,0)</f>
        <v>#REF!</v>
      </c>
      <c r="O14" t="e">
        <f>IF(Monitorios="SI",Datos!CG14,0)</f>
        <v>#REF!</v>
      </c>
      <c r="P14" t="e">
        <f>IF(Monitorios="SI",Datos!CH14,0)</f>
        <v>#REF!</v>
      </c>
      <c r="Q14">
        <f>IF(J_V="SI",0,Datos!AG14)</f>
        <v>26</v>
      </c>
      <c r="R14">
        <f>IF(J_V="SI",0,Datos!AH14)</f>
        <v>134</v>
      </c>
      <c r="S14">
        <f>IF(J_V="SI",0,Datos!AI14)</f>
        <v>128</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5.0724637681159424E-2</v>
      </c>
      <c r="E17" s="393">
        <f>IF(ISNUMBER(
   IF(D_I="SI",(Datos!J17-Datos!T17)/Datos!T17,(Datos!J17+Datos!AD17-(Datos!T17+Datos!AL17))/(Datos!T17+Datos!AL17))
     ),IF(D_I="SI",(Datos!J17-Datos!T17)/Datos!T17,(Datos!J17+Datos!AD17-(Datos!T17+Datos!AL17))/(Datos!T17+Datos!AL17))," - ")</f>
        <v>0.22222222222222221</v>
      </c>
      <c r="F17" s="393">
        <f>IF(ISNUMBER(
   IF(D_I="SI",(Datos!K17-Datos!U17)/Datos!U17,(Datos!K17+Datos!AE17-(Datos!U17+Datos!AM17))/(Datos!U17+Datos!AM17))
     ),IF(D_I="SI",(Datos!K17-Datos!U17)/Datos!U17,(Datos!K17+Datos!AE17-(Datos!U17+Datos!AM17))/(Datos!U17+Datos!AM17))," - ")</f>
        <v>0.22229140722291407</v>
      </c>
      <c r="G17" s="394">
        <f>IF(ISNUMBER(
   IF(D_I="SI",(Datos!L17-Datos!V17)/Datos!V17,(Datos!L17+Datos!AF17-(Datos!V17+Datos!AN17))/(Datos!V17+Datos!AN17))
     ),IF(D_I="SI",(Datos!L17-Datos!V17)/Datos!V17,(Datos!L17+Datos!AF17-(Datos!V17+Datos!AN17))/(Datos!V17+Datos!AN17))," - ")</f>
        <v>-0.10517241379310345</v>
      </c>
      <c r="H17" s="244">
        <f>IF(ISNUMBER((Datos!M17-Datos!W17)/Datos!W17),(Datos!M17-Datos!W17)/Datos!W17," - ")</f>
        <v>-0.11068702290076336</v>
      </c>
      <c r="I17" s="395">
        <f>IF(ISNUMBER((Tasas!C17-Datos!BE17)/Datos!BE17),(Tasas!C17-Datos!BE17)/Datos!BE17," - ")</f>
        <v>-0.26790977919089354</v>
      </c>
      <c r="J17" s="394">
        <f>IF(ISNUMBER((Tasas!D17-Datos!BF17)/Datos!BF17),(Tasas!D17-Datos!BF17)/Datos!BF17," - ")</f>
        <v>-0.27242147670841882</v>
      </c>
      <c r="K17" s="396">
        <f>IF(ISNUMBER((Tasas!E17-Datos!BG17)/Datos!BG17),(Tasas!E17-Datos!BG17)/Datos!BG17," - ")</f>
        <v>-3.5567910049814321E-2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-0.40384615384615385</v>
      </c>
      <c r="E18" s="393">
        <f>IF(ISNUMBER(
   IF(D_I="SI",(Datos!J18-Datos!T18)/Datos!T18,(Datos!J18+Datos!AD18-(Datos!T18+Datos!AL18))/(Datos!T18+Datos!AL18))
     ),IF(D_I="SI",(Datos!J18-Datos!T18)/Datos!T18,(Datos!J18+Datos!AD18-(Datos!T18+Datos!AL18))/(Datos!T18+Datos!AL18))," - ")</f>
        <v>3.7313432835820892E-2</v>
      </c>
      <c r="F18" s="393">
        <f>IF(ISNUMBER(
   IF(D_I="SI",(Datos!K18-Datos!U18)/Datos!U18,(Datos!K18+Datos!AE18-(Datos!U18+Datos!AM18))/(Datos!U18+Datos!AM18))
     ),IF(D_I="SI",(Datos!K18-Datos!U18)/Datos!U18,(Datos!K18+Datos!AE18-(Datos!U18+Datos!AM18))/(Datos!U18+Datos!AM18))," - ")</f>
        <v>-4.1095890410958902E-2</v>
      </c>
      <c r="G18" s="394">
        <f>IF(ISNUMBER(
   IF(D_I="SI",(Datos!L18-Datos!V18)/Datos!V18,(Datos!L18+Datos!AF18-(Datos!V18+Datos!AN18))/(Datos!V18+Datos!AN18))
     ),IF(D_I="SI",(Datos!L18-Datos!V18)/Datos!V18,(Datos!L18+Datos!AF18-(Datos!V18+Datos!AN18))/(Datos!V18+Datos!AN18))," - ")</f>
        <v>-3.2258064516129031E-2</v>
      </c>
      <c r="H18" s="244">
        <f>IF(ISNUMBER((Datos!M18-Datos!W18)/Datos!W18),(Datos!M18-Datos!W18)/Datos!W18," - ")</f>
        <v>-0.17647058823529413</v>
      </c>
      <c r="I18" s="395">
        <f>IF(ISNUMBER((Tasas!C18-Datos!BE18)/Datos!BE18),(Tasas!C18-Datos!BE18)/Datos!BE18," - ")</f>
        <v>9.2165898617511521E-3</v>
      </c>
      <c r="J18" s="394">
        <f>IF(ISNUMBER((Tasas!D18-Datos!BF18)/Datos!BF18),(Tasas!D18-Datos!BF18)/Datos!BF18," - ")</f>
        <v>-0.14117647058823521</v>
      </c>
      <c r="K18" s="396">
        <f>IF(ISNUMBER((Tasas!E18-Datos!BG18)/Datos!BG18),(Tasas!E18-Datos!BG18)/Datos!BG18," - ")</f>
        <v>-4.6850998463901755E-2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1.1589403973509934E-2</v>
      </c>
      <c r="E23" s="399">
        <f>IF(ISNUMBER(
   IF(D_I="SI",(Datos!J23-Datos!T23)/Datos!T23,(Datos!J23+Datos!AD23-(Datos!T23+Datos!AL23))/(Datos!T23+Datos!AL23))
     ),IF(D_I="SI",(Datos!J23-Datos!T23)/Datos!T23,(Datos!J23+Datos!AD23-(Datos!T23+Datos!AL23))/(Datos!T23+Datos!AL23))," - ")</f>
        <v>0.2081678956324447</v>
      </c>
      <c r="F23" s="399">
        <f>IF(ISNUMBER(
   IF(D_I="SI",(Datos!K23-Datos!U23)/Datos!U23,(Datos!K23+Datos!AE23-(Datos!U23+Datos!AM23))/(Datos!U23+Datos!AM23))
     ),IF(D_I="SI",(Datos!K23-Datos!U23)/Datos!U23,(Datos!K23+Datos!AE23-(Datos!U23+Datos!AM23))/(Datos!U23+Datos!AM23))," - ")</f>
        <v>0.20034246575342465</v>
      </c>
      <c r="G23" s="400">
        <f>IF(ISNUMBER(
   IF(D_I="SI",(Datos!L23-Datos!V23)/Datos!V23,(Datos!L23+Datos!AF23-(Datos!V23+Datos!AN23))/(Datos!V23+Datos!AN23))
     ),IF(D_I="SI",(Datos!L23-Datos!V23)/Datos!V23,(Datos!L23+Datos!AF23-(Datos!V23+Datos!AN23))/(Datos!V23+Datos!AN23))," - ")</f>
        <v>-0.10147299509001637</v>
      </c>
      <c r="H23" s="401">
        <f>IF(ISNUMBER((Datos!M23-Datos!W23)/Datos!W23),(Datos!M23-Datos!W23)/Datos!W23," - ")</f>
        <v>-0.11469534050179211</v>
      </c>
      <c r="I23" s="402">
        <f>IF(ISNUMBER((Tasas!C23-Datos!BE23)/Datos!BE23),(Tasas!C23-Datos!BE23)/Datos!BE23," - ")</f>
        <v>-0.25144112572406502</v>
      </c>
      <c r="J23" s="400">
        <f>IF(ISNUMBER((Tasas!D23-Datos!BF23)/Datos!BF23),(Tasas!D23-Datos!BF23)/Datos!BF23," - ")</f>
        <v>-0.26245660321404646</v>
      </c>
      <c r="K23" s="403">
        <f>IF(ISNUMBER((Tasas!E23-Datos!BG23)/Datos!BG23),(Tasas!E23-Datos!BG23)/Datos!BG23," - ")</f>
        <v>-3.5270393493030294E-2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1.4579191517561299E-2</v>
      </c>
      <c r="E31" s="409">
        <f>IF(ISNUMBER(
   IF(J_V="SI",(Datos!J31-Datos!T31)/Datos!T31,(Datos!J31+Datos!Z31-(Datos!T31+Datos!AH31))/(Datos!T31+Datos!AH31))
     ),IF(J_V="SI",(Datos!J31-Datos!T31)/Datos!T31,(Datos!J31+Datos!Z31-(Datos!T31+Datos!AH31))/(Datos!T31+Datos!AH31))," - ")</f>
        <v>0.16042935886277923</v>
      </c>
      <c r="F31" s="409">
        <f>IF(ISNUMBER(
   IF(J_V="SI",(Datos!K31-Datos!U31)/Datos!U31,(Datos!K31+Datos!AA31-(Datos!U31+Datos!AI31))/(Datos!U31+Datos!AI31))
     ),IF(J_V="SI",(Datos!K31-Datos!U31)/Datos!U31,(Datos!K31+Datos!AA31-(Datos!U31+Datos!AI31))/(Datos!U31+Datos!AI31))," - ")</f>
        <v>0.15606242496998798</v>
      </c>
      <c r="G31" s="410">
        <f>IF(ISNUMBER(
   IF(J_V="SI",(Datos!L31-Datos!V31)/Datos!V31,(Datos!L31+Datos!AB31-(Datos!V31+Datos!AJ31))/(Datos!V31+Datos!AJ31))
     ),IF(J_V="SI",(Datos!L31-Datos!V31)/Datos!V31,(Datos!L31+Datos!AB31-(Datos!V31+Datos!AJ31))/(Datos!V31+Datos!AJ31))," - ")</f>
        <v>-3.1352057478772045E-2</v>
      </c>
      <c r="H31" s="411">
        <f>IF(ISNUMBER((Datos!M31-Datos!W31)/Datos!W31),(Datos!M31-Datos!W31)/Datos!W31," - ")</f>
        <v>-9.7152428810720268E-2</v>
      </c>
      <c r="I31" s="408">
        <f>IF(ISNUMBER((Tasas!C31-Datos!BE31)/Datos!BE31),(Tasas!C31-Datos!BE31)/Datos!BE31," - ")</f>
        <v>-0.16211450039441036</v>
      </c>
      <c r="J31" s="409">
        <f>IF(ISNUMBER((Tasas!D31-Datos!BF31)/Datos!BF31),(Tasas!D31-Datos!BF31)/Datos!BF31," - ")</f>
        <v>-0.37585301399436444</v>
      </c>
      <c r="K31" s="410">
        <f>IF(ISNUMBER((Tasas!E31-Datos!BG31)/Datos!BG31),(Tasas!E31-Datos!BG31)/Datos!BG31," - ")</f>
        <v>-3.4636053763251601E-2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0.28210810290047333</v>
      </c>
      <c r="E33" s="303">
        <f t="shared" si="1"/>
        <v>0.33854990569186688</v>
      </c>
      <c r="F33" s="303">
        <f t="shared" si="1"/>
        <v>0.25933866826808405</v>
      </c>
      <c r="G33" s="304">
        <f t="shared" si="1"/>
        <v>0.21284110061386513</v>
      </c>
      <c r="H33" s="310">
        <f t="shared" si="1"/>
        <v>8.4891724186352074E-2</v>
      </c>
      <c r="I33" s="302">
        <f t="shared" si="1"/>
        <v>0.11694346519363748</v>
      </c>
      <c r="J33" s="303">
        <f t="shared" si="1"/>
        <v>0.18618557740152633</v>
      </c>
      <c r="K33" s="304">
        <f t="shared" si="1"/>
        <v>8.8603555522941635E-2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bRgxsXX/moBmMk1BjtiZv4yuca135CYLw21poSBo68vo//c4dG/cGkhcTi/JWhWRAoXRE9tuaztOPRfPd7+6A==" saltValue="+0IPWSA2lUVA/MkkvI37j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